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orgechaney/Downloads/"/>
    </mc:Choice>
  </mc:AlternateContent>
  <xr:revisionPtr revIDLastSave="0" documentId="13_ncr:1_{86C3ABE8-8C92-4A29-8DD2-5872BD4B3420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Stmt of Fin Pos" sheetId="1" r:id="rId1"/>
    <sheet name="Stmt of Fin Act" sheetId="2" r:id="rId2"/>
    <sheet name="Stmt of Fin Act by Class" sheetId="3" r:id="rId3"/>
    <sheet name="Stmt of Fin Act by Month" sheetId="4" r:id="rId4"/>
  </sheets>
  <definedNames>
    <definedName name="_xlnm.Print_Titles" localSheetId="1">'Stmt of Fin Act'!$1:$5</definedName>
    <definedName name="_xlnm.Print_Titles" localSheetId="3">'Stmt of Fin Act by Month'!$1:$5</definedName>
    <definedName name="_xlnm.Print_Titles" localSheetId="0">'Stmt of Fin Pos'!$1:$5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B8" i="4"/>
  <c r="C9" i="4"/>
  <c r="D11" i="4"/>
  <c r="B12" i="4"/>
  <c r="C12" i="4"/>
  <c r="D12" i="4"/>
  <c r="D13" i="4"/>
  <c r="B14" i="4"/>
  <c r="C14" i="4"/>
  <c r="D14" i="4"/>
  <c r="B15" i="4"/>
  <c r="C15" i="4"/>
  <c r="D15" i="4"/>
  <c r="B16" i="4"/>
  <c r="C16" i="4"/>
  <c r="B17" i="4"/>
  <c r="C17" i="4"/>
  <c r="B18" i="4"/>
  <c r="C18" i="4"/>
  <c r="D19" i="4"/>
  <c r="B20" i="4"/>
  <c r="C20" i="4"/>
  <c r="B21" i="4"/>
  <c r="C21" i="4"/>
  <c r="B22" i="4"/>
  <c r="C22" i="4"/>
  <c r="D22" i="4"/>
  <c r="B23" i="4"/>
  <c r="C23" i="4"/>
  <c r="D23" i="4"/>
  <c r="B24" i="4"/>
  <c r="C24" i="4"/>
  <c r="D24" i="4"/>
  <c r="D26" i="4"/>
  <c r="B27" i="4"/>
  <c r="C27" i="4"/>
  <c r="D27" i="4"/>
  <c r="B28" i="4"/>
  <c r="C28" i="4"/>
  <c r="D28" i="4"/>
  <c r="B29" i="4"/>
  <c r="C29" i="4"/>
  <c r="D32" i="4"/>
  <c r="B33" i="4"/>
  <c r="C34" i="4"/>
  <c r="D40" i="4"/>
  <c r="B41" i="4"/>
  <c r="C41" i="4"/>
  <c r="D41" i="4"/>
  <c r="B42" i="4"/>
  <c r="C42" i="4"/>
  <c r="D42" i="4" s="1"/>
  <c r="B43" i="4"/>
  <c r="D43" i="4" s="1"/>
  <c r="C43" i="4"/>
  <c r="B44" i="4"/>
  <c r="C44" i="4"/>
  <c r="D44" i="4"/>
  <c r="B45" i="4"/>
  <c r="C45" i="4"/>
  <c r="D45" i="4" s="1"/>
  <c r="D48" i="4"/>
  <c r="B49" i="4"/>
  <c r="D49" i="4" s="1"/>
  <c r="B50" i="4"/>
  <c r="C50" i="4"/>
  <c r="B51" i="4"/>
  <c r="C51" i="4"/>
  <c r="B52" i="4"/>
  <c r="C52" i="4"/>
  <c r="D52" i="4" s="1"/>
  <c r="C53" i="4"/>
  <c r="D55" i="4"/>
  <c r="B56" i="4"/>
  <c r="B57" i="4"/>
  <c r="C57" i="4"/>
  <c r="C58" i="4"/>
  <c r="D60" i="4"/>
  <c r="D61" i="4"/>
  <c r="C62" i="4"/>
  <c r="D62" i="4" s="1"/>
  <c r="B63" i="4"/>
  <c r="C63" i="4"/>
  <c r="B65" i="4"/>
  <c r="C65" i="4"/>
  <c r="D65" i="4" s="1"/>
  <c r="B66" i="4"/>
  <c r="C66" i="4"/>
  <c r="D66" i="4" s="1"/>
  <c r="B67" i="4"/>
  <c r="C68" i="4"/>
  <c r="D74" i="4"/>
  <c r="B75" i="4"/>
  <c r="B76" i="4" s="1"/>
  <c r="C75" i="4"/>
  <c r="E7" i="3"/>
  <c r="H7" i="3"/>
  <c r="C8" i="3"/>
  <c r="H8" i="3"/>
  <c r="B9" i="3"/>
  <c r="D9" i="3"/>
  <c r="F9" i="3"/>
  <c r="G9" i="3"/>
  <c r="E11" i="3"/>
  <c r="H11" i="3"/>
  <c r="I11" i="3"/>
  <c r="C12" i="3"/>
  <c r="E12" i="3"/>
  <c r="H12" i="3"/>
  <c r="E13" i="3"/>
  <c r="H13" i="3"/>
  <c r="C14" i="3"/>
  <c r="H14" i="3"/>
  <c r="C15" i="3"/>
  <c r="E15" i="3" s="1"/>
  <c r="H15" i="3"/>
  <c r="B16" i="3"/>
  <c r="D16" i="3"/>
  <c r="F16" i="3"/>
  <c r="G16" i="3"/>
  <c r="D17" i="3"/>
  <c r="E17" i="3" s="1"/>
  <c r="H17" i="3"/>
  <c r="E18" i="3"/>
  <c r="H18" i="3"/>
  <c r="C19" i="3"/>
  <c r="E19" i="3"/>
  <c r="H19" i="3"/>
  <c r="C20" i="3"/>
  <c r="E20" i="3"/>
  <c r="H20" i="3"/>
  <c r="C21" i="3"/>
  <c r="E21" i="3"/>
  <c r="H21" i="3"/>
  <c r="I21" i="3" s="1"/>
  <c r="C22" i="3"/>
  <c r="E22" i="3" s="1"/>
  <c r="H22" i="3"/>
  <c r="C23" i="3"/>
  <c r="H23" i="3"/>
  <c r="B24" i="3"/>
  <c r="D24" i="3"/>
  <c r="F24" i="3"/>
  <c r="G24" i="3"/>
  <c r="E25" i="3"/>
  <c r="H25" i="3"/>
  <c r="C26" i="3"/>
  <c r="E26" i="3" s="1"/>
  <c r="H26" i="3"/>
  <c r="C27" i="3"/>
  <c r="H27" i="3"/>
  <c r="B28" i="3"/>
  <c r="D28" i="3"/>
  <c r="F28" i="3"/>
  <c r="G28" i="3"/>
  <c r="E31" i="3"/>
  <c r="H31" i="3"/>
  <c r="D32" i="3"/>
  <c r="E32" i="3"/>
  <c r="H32" i="3"/>
  <c r="B33" i="3"/>
  <c r="C33" i="3"/>
  <c r="D33" i="3"/>
  <c r="E33" i="3" s="1"/>
  <c r="F33" i="3"/>
  <c r="G33" i="3"/>
  <c r="H33" i="3"/>
  <c r="E39" i="3"/>
  <c r="H39" i="3"/>
  <c r="I39" i="3" s="1"/>
  <c r="C40" i="3"/>
  <c r="H40" i="3"/>
  <c r="C41" i="3"/>
  <c r="E41" i="3"/>
  <c r="H41" i="3"/>
  <c r="C42" i="3"/>
  <c r="E42" i="3" s="1"/>
  <c r="H42" i="3"/>
  <c r="C43" i="3"/>
  <c r="E43" i="3" s="1"/>
  <c r="H43" i="3"/>
  <c r="E44" i="3"/>
  <c r="G44" i="3"/>
  <c r="H44" i="3" s="1"/>
  <c r="B45" i="3"/>
  <c r="D45" i="3"/>
  <c r="F45" i="3"/>
  <c r="G45" i="3"/>
  <c r="E47" i="3"/>
  <c r="H47" i="3"/>
  <c r="E48" i="3"/>
  <c r="G48" i="3"/>
  <c r="H48" i="3" s="1"/>
  <c r="I48" i="3" s="1"/>
  <c r="E49" i="3"/>
  <c r="G49" i="3"/>
  <c r="H49" i="3"/>
  <c r="E50" i="3"/>
  <c r="G50" i="3"/>
  <c r="E51" i="3"/>
  <c r="G51" i="3"/>
  <c r="H51" i="3" s="1"/>
  <c r="I51" i="3" s="1"/>
  <c r="B52" i="3"/>
  <c r="C52" i="3"/>
  <c r="D52" i="3"/>
  <c r="F52" i="3"/>
  <c r="E54" i="3"/>
  <c r="H54" i="3"/>
  <c r="D55" i="3"/>
  <c r="E55" i="3"/>
  <c r="H55" i="3"/>
  <c r="C56" i="3"/>
  <c r="E56" i="3" s="1"/>
  <c r="G56" i="3"/>
  <c r="H56" i="3"/>
  <c r="B57" i="3"/>
  <c r="C57" i="3"/>
  <c r="D57" i="3"/>
  <c r="F57" i="3"/>
  <c r="G57" i="3"/>
  <c r="E59" i="3"/>
  <c r="H59" i="3"/>
  <c r="I59" i="3" s="1"/>
  <c r="E60" i="3"/>
  <c r="H60" i="3"/>
  <c r="I60" i="3" s="1"/>
  <c r="E61" i="3"/>
  <c r="G61" i="3"/>
  <c r="B62" i="3"/>
  <c r="B67" i="3" s="1"/>
  <c r="C62" i="3"/>
  <c r="C67" i="3" s="1"/>
  <c r="D62" i="3"/>
  <c r="D67" i="3" s="1"/>
  <c r="E62" i="3"/>
  <c r="F62" i="3"/>
  <c r="F67" i="3" s="1"/>
  <c r="E64" i="3"/>
  <c r="G64" i="3"/>
  <c r="H64" i="3" s="1"/>
  <c r="E65" i="3"/>
  <c r="G65" i="3"/>
  <c r="H65" i="3" s="1"/>
  <c r="E66" i="3"/>
  <c r="G66" i="3"/>
  <c r="H66" i="3" s="1"/>
  <c r="I66" i="3" s="1"/>
  <c r="E73" i="3"/>
  <c r="H73" i="3"/>
  <c r="I73" i="3" s="1"/>
  <c r="E74" i="3"/>
  <c r="G74" i="3"/>
  <c r="H74" i="3" s="1"/>
  <c r="I74" i="3" s="1"/>
  <c r="B75" i="3"/>
  <c r="B76" i="3" s="1"/>
  <c r="C75" i="3"/>
  <c r="D75" i="3"/>
  <c r="F75" i="3"/>
  <c r="G75" i="3"/>
  <c r="C76" i="3"/>
  <c r="D76" i="3"/>
  <c r="D77" i="3" s="1"/>
  <c r="F76" i="3"/>
  <c r="C77" i="3"/>
  <c r="F77" i="3"/>
  <c r="B8" i="2"/>
  <c r="B9" i="2" s="1"/>
  <c r="B12" i="2"/>
  <c r="B14" i="2"/>
  <c r="B15" i="2"/>
  <c r="B16" i="2"/>
  <c r="B17" i="2"/>
  <c r="B19" i="2"/>
  <c r="B20" i="2"/>
  <c r="B21" i="2"/>
  <c r="B22" i="2"/>
  <c r="B23" i="2"/>
  <c r="B26" i="2"/>
  <c r="B27" i="2"/>
  <c r="B28" i="2"/>
  <c r="B32" i="2"/>
  <c r="B33" i="2"/>
  <c r="B40" i="2"/>
  <c r="B41" i="2"/>
  <c r="B42" i="2"/>
  <c r="B43" i="2"/>
  <c r="B44" i="2"/>
  <c r="B45" i="2" s="1"/>
  <c r="B48" i="2"/>
  <c r="B49" i="2"/>
  <c r="B50" i="2"/>
  <c r="B51" i="2"/>
  <c r="B52" i="2"/>
  <c r="B55" i="2"/>
  <c r="B56" i="2"/>
  <c r="B57" i="2"/>
  <c r="B61" i="2"/>
  <c r="B62" i="2" s="1"/>
  <c r="B64" i="2"/>
  <c r="B65" i="2"/>
  <c r="B66" i="2"/>
  <c r="B74" i="2"/>
  <c r="B75" i="2"/>
  <c r="B76" i="2"/>
  <c r="B77" i="2" s="1"/>
  <c r="B39" i="1"/>
  <c r="B38" i="1"/>
  <c r="B40" i="1" s="1"/>
  <c r="B31" i="1"/>
  <c r="B32" i="1" s="1"/>
  <c r="B33" i="1" s="1"/>
  <c r="B26" i="1"/>
  <c r="B27" i="1" s="1"/>
  <c r="B15" i="1"/>
  <c r="B14" i="1"/>
  <c r="B13" i="1"/>
  <c r="B12" i="1"/>
  <c r="B11" i="1"/>
  <c r="B10" i="1"/>
  <c r="B16" i="1" s="1"/>
  <c r="B17" i="1" s="1"/>
  <c r="B18" i="1" s="1"/>
  <c r="B20" i="1" s="1"/>
  <c r="C25" i="4" l="1"/>
  <c r="B46" i="4"/>
  <c r="C46" i="4"/>
  <c r="D57" i="4"/>
  <c r="D17" i="4"/>
  <c r="D8" i="4"/>
  <c r="B9" i="4"/>
  <c r="D56" i="4"/>
  <c r="B58" i="4"/>
  <c r="D58" i="4" s="1"/>
  <c r="D16" i="4"/>
  <c r="D18" i="4"/>
  <c r="D20" i="4"/>
  <c r="B25" i="4"/>
  <c r="B30" i="4" s="1"/>
  <c r="D9" i="4"/>
  <c r="D25" i="4"/>
  <c r="C30" i="4"/>
  <c r="C36" i="4" s="1"/>
  <c r="D67" i="4"/>
  <c r="B68" i="4"/>
  <c r="D68" i="4" s="1"/>
  <c r="C76" i="4"/>
  <c r="C77" i="4" s="1"/>
  <c r="C78" i="4" s="1"/>
  <c r="D75" i="4"/>
  <c r="D76" i="4"/>
  <c r="B77" i="4"/>
  <c r="D21" i="4"/>
  <c r="D29" i="4"/>
  <c r="D51" i="4"/>
  <c r="D63" i="4"/>
  <c r="D33" i="4"/>
  <c r="B34" i="4"/>
  <c r="D50" i="4"/>
  <c r="B53" i="4"/>
  <c r="H28" i="3"/>
  <c r="I25" i="3"/>
  <c r="I19" i="3"/>
  <c r="I31" i="3"/>
  <c r="H50" i="3"/>
  <c r="I50" i="3" s="1"/>
  <c r="G52" i="3"/>
  <c r="H52" i="3" s="1"/>
  <c r="E14" i="3"/>
  <c r="C16" i="3"/>
  <c r="E16" i="3" s="1"/>
  <c r="G62" i="3"/>
  <c r="H61" i="3"/>
  <c r="I61" i="3" s="1"/>
  <c r="H75" i="3"/>
  <c r="G76" i="3"/>
  <c r="I20" i="3"/>
  <c r="I22" i="3"/>
  <c r="H24" i="3"/>
  <c r="I26" i="3"/>
  <c r="I44" i="3"/>
  <c r="E75" i="3"/>
  <c r="E76" i="3"/>
  <c r="B77" i="3"/>
  <c r="E77" i="3" s="1"/>
  <c r="I7" i="3"/>
  <c r="I14" i="3"/>
  <c r="I15" i="3"/>
  <c r="I32" i="3"/>
  <c r="I49" i="3"/>
  <c r="I41" i="3"/>
  <c r="I42" i="3"/>
  <c r="I47" i="3"/>
  <c r="I56" i="3"/>
  <c r="E57" i="3"/>
  <c r="E40" i="3"/>
  <c r="I40" i="3" s="1"/>
  <c r="C45" i="3"/>
  <c r="E52" i="3"/>
  <c r="I12" i="3"/>
  <c r="I13" i="3"/>
  <c r="B29" i="3"/>
  <c r="B35" i="3" s="1"/>
  <c r="B36" i="3" s="1"/>
  <c r="D29" i="3"/>
  <c r="D35" i="3" s="1"/>
  <c r="D36" i="3" s="1"/>
  <c r="F29" i="3"/>
  <c r="F35" i="3" s="1"/>
  <c r="F36" i="3" s="1"/>
  <c r="I54" i="3"/>
  <c r="I55" i="3"/>
  <c r="H57" i="3"/>
  <c r="E23" i="3"/>
  <c r="I23" i="3" s="1"/>
  <c r="C24" i="3"/>
  <c r="E24" i="3" s="1"/>
  <c r="H9" i="3"/>
  <c r="I43" i="3"/>
  <c r="I17" i="3"/>
  <c r="I18" i="3"/>
  <c r="I33" i="3"/>
  <c r="E8" i="3"/>
  <c r="I8" i="3" s="1"/>
  <c r="C9" i="3"/>
  <c r="E9" i="3" s="1"/>
  <c r="H16" i="3"/>
  <c r="G29" i="3"/>
  <c r="I64" i="3"/>
  <c r="I65" i="3"/>
  <c r="E27" i="3"/>
  <c r="I27" i="3" s="1"/>
  <c r="C28" i="3"/>
  <c r="H45" i="3"/>
  <c r="B69" i="3"/>
  <c r="D69" i="3"/>
  <c r="F69" i="3"/>
  <c r="E67" i="3"/>
  <c r="B24" i="2"/>
  <c r="B29" i="2" s="1"/>
  <c r="B35" i="2" s="1"/>
  <c r="B36" i="2" s="1"/>
  <c r="B67" i="2"/>
  <c r="B69" i="2" s="1"/>
  <c r="B34" i="1"/>
  <c r="B35" i="1" s="1"/>
  <c r="B42" i="1" s="1"/>
  <c r="D46" i="4" l="1"/>
  <c r="C70" i="4"/>
  <c r="D30" i="4"/>
  <c r="B78" i="4"/>
  <c r="D78" i="4" s="1"/>
  <c r="D77" i="4"/>
  <c r="B36" i="4"/>
  <c r="D34" i="4"/>
  <c r="D53" i="4"/>
  <c r="B70" i="4"/>
  <c r="C38" i="4"/>
  <c r="I75" i="3"/>
  <c r="I52" i="3"/>
  <c r="I57" i="3"/>
  <c r="I24" i="3"/>
  <c r="I16" i="3"/>
  <c r="H62" i="3"/>
  <c r="I62" i="3" s="1"/>
  <c r="G67" i="3"/>
  <c r="H76" i="3"/>
  <c r="I76" i="3" s="1"/>
  <c r="G77" i="3"/>
  <c r="H77" i="3" s="1"/>
  <c r="I77" i="3" s="1"/>
  <c r="E45" i="3"/>
  <c r="I45" i="3" s="1"/>
  <c r="C69" i="3"/>
  <c r="E69" i="3" s="1"/>
  <c r="D70" i="3"/>
  <c r="D79" i="3" s="1"/>
  <c r="F70" i="3"/>
  <c r="F79" i="3" s="1"/>
  <c r="I9" i="3"/>
  <c r="G35" i="3"/>
  <c r="H29" i="3"/>
  <c r="C29" i="3"/>
  <c r="E28" i="3"/>
  <c r="I28" i="3" s="1"/>
  <c r="B70" i="3"/>
  <c r="B79" i="3" s="1"/>
  <c r="B70" i="2"/>
  <c r="B79" i="2" s="1"/>
  <c r="D70" i="4" l="1"/>
  <c r="B38" i="4"/>
  <c r="D36" i="4"/>
  <c r="C71" i="4"/>
  <c r="H67" i="3"/>
  <c r="I67" i="3" s="1"/>
  <c r="G69" i="3"/>
  <c r="H69" i="3" s="1"/>
  <c r="I69" i="3" s="1"/>
  <c r="H35" i="3"/>
  <c r="G36" i="3"/>
  <c r="C35" i="3"/>
  <c r="E29" i="3"/>
  <c r="I29" i="3" s="1"/>
  <c r="B71" i="4" l="1"/>
  <c r="D38" i="4"/>
  <c r="C80" i="4"/>
  <c r="H36" i="3"/>
  <c r="G70" i="3"/>
  <c r="C36" i="3"/>
  <c r="E35" i="3"/>
  <c r="I35" i="3" s="1"/>
  <c r="B80" i="4" l="1"/>
  <c r="D80" i="4" s="1"/>
  <c r="D71" i="4"/>
  <c r="H70" i="3"/>
  <c r="G79" i="3"/>
  <c r="H79" i="3" s="1"/>
  <c r="E36" i="3"/>
  <c r="I36" i="3" s="1"/>
  <c r="C70" i="3"/>
  <c r="C79" i="3" l="1"/>
  <c r="E79" i="3" s="1"/>
  <c r="I79" i="3" s="1"/>
  <c r="E70" i="3"/>
  <c r="I70" i="3" s="1"/>
</calcChain>
</file>

<file path=xl/sharedStrings.xml><?xml version="1.0" encoding="utf-8"?>
<sst xmlns="http://schemas.openxmlformats.org/spreadsheetml/2006/main" count="247" uniqueCount="114">
  <si>
    <t>Total</t>
  </si>
  <si>
    <t>ASSETS</t>
  </si>
  <si>
    <t xml:space="preserve">   Current Assets</t>
  </si>
  <si>
    <t xml:space="preserve">      Bank Accounts</t>
  </si>
  <si>
    <t xml:space="preserve">         1000 Cash</t>
  </si>
  <si>
    <t xml:space="preserve">            1010 Highpoint Bank-Checking x0096</t>
  </si>
  <si>
    <t xml:space="preserve">            1020 Highpoint Bank-Savings x0465</t>
  </si>
  <si>
    <t xml:space="preserve">            1025 Highpoint Bank-CD x0538</t>
  </si>
  <si>
    <t xml:space="preserve">            1030 Highpoint Bank-CD x0539</t>
  </si>
  <si>
    <t xml:space="preserve">            1040 Paypal</t>
  </si>
  <si>
    <t xml:space="preserve">            1050 Paypal - EXPO</t>
  </si>
  <si>
    <t xml:space="preserve">         Total 1000 Cash</t>
  </si>
  <si>
    <t xml:space="preserve">      Total Bank Accounts</t>
  </si>
  <si>
    <t xml:space="preserve">   Total Current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</si>
  <si>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</si>
  <si>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</si>
  <si>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</si>
  <si>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</si>
  <si>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</si>
  <si>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2000 Accounts Payable</t>
  </si>
  <si>
    <t xml:space="preserve">         Total Accounts Payable</t>
  </si>
  <si>
    <t xml:space="preserve">         Credit Cards</t>
  </si>
  <si>
    <t xml:space="preserve">            2100 Credit Card</t>
  </si>
  <si>
    <t xml:space="preserve">               2110 Guaranty Bank Credit Card x9081</t>
  </si>
  <si>
    <t xml:space="preserve">            Total 2100 Credit Card</t>
  </si>
  <si>
    <t xml:space="preserve">         Total Credit Cards</t>
  </si>
  <si>
    <t xml:space="preserve">      Total Current Liabilities</t>
  </si>
  <si>
    <t xml:space="preserve">   Total Liabilities</t>
  </si>
  <si>
    <t xml:space="preserve">   Equity</t>
  </si>
  <si>
    <t xml:space="preserve">      3000 Net assets without Donor Restrictions</t>
  </si>
  <si>
    <t xml:space="preserve">      Net Revenue</t>
  </si>
  <si>
    <t xml:space="preserve">   Total Equity</t>
  </si>
  <si>
    <t>TOTAL LIABILITIES AND EQUITY</t>
  </si>
  <si>
    <t>American Dexter Cattle Association</t>
  </si>
  <si>
    <t>Statement of Financial Position</t>
  </si>
  <si>
    <t>As of February 28, 2026</t>
  </si>
  <si>
    <t>Net Revenue</t>
  </si>
  <si>
    <t>Net Other Revenue</t>
  </si>
  <si>
    <t>Total Other Revenue</t>
  </si>
  <si>
    <t xml:space="preserve">   Total 9200 Investment Activity</t>
  </si>
  <si>
    <t xml:space="preserve">      9210 Interest</t>
  </si>
  <si>
    <t xml:space="preserve">   9200 Investment Activity</t>
  </si>
  <si>
    <t>Other Revenue</t>
  </si>
  <si>
    <t>Net Operating Revenue</t>
  </si>
  <si>
    <t>Total Expenditures</t>
  </si>
  <si>
    <t xml:space="preserve">   Total 8500 Other Expenses</t>
  </si>
  <si>
    <t xml:space="preserve">      8580 Business Taxes &amp; Licensing Fees</t>
  </si>
  <si>
    <t xml:space="preserve">      8560 Merchant Fees</t>
  </si>
  <si>
    <t xml:space="preserve">      8550 Bank Fees</t>
  </si>
  <si>
    <t xml:space="preserve">      Total 8520 Insurance - Non-employee Related</t>
  </si>
  <si>
    <t xml:space="preserve">         8521 Directors</t>
  </si>
  <si>
    <t xml:space="preserve">      8520 Insurance - Non-employee Related</t>
  </si>
  <si>
    <t xml:space="preserve">   8500 Other Expenses</t>
  </si>
  <si>
    <t xml:space="preserve">   Total 8400 Other Program Specific Expenses</t>
  </si>
  <si>
    <t xml:space="preserve">      8420 Pedigree &amp; Genetics</t>
  </si>
  <si>
    <t xml:space="preserve">      8410 Show &amp; Awards</t>
  </si>
  <si>
    <t xml:space="preserve">   8400 Other Program Specific Expenses</t>
  </si>
  <si>
    <t xml:space="preserve">   Total 8100 Nonpersonnel Expenses</t>
  </si>
  <si>
    <t xml:space="preserve">      8150 Software &amp; Hardware &lt; $2,000</t>
  </si>
  <si>
    <t xml:space="preserve">      8130 Postage &amp; Shipping</t>
  </si>
  <si>
    <t xml:space="preserve">      8120 Telephone &amp; Internet</t>
  </si>
  <si>
    <t xml:space="preserve">      8110 Supplies</t>
  </si>
  <si>
    <t xml:space="preserve">   8100 Nonpersonnel Expenses</t>
  </si>
  <si>
    <t xml:space="preserve">   Total 7500 Contract Service Expenses</t>
  </si>
  <si>
    <t xml:space="preserve">      7520 Accounting</t>
  </si>
  <si>
    <t xml:space="preserve">      7514 Secretary</t>
  </si>
  <si>
    <t xml:space="preserve">      7513 Registrar Assistant</t>
  </si>
  <si>
    <t xml:space="preserve">      7512 Registrar</t>
  </si>
  <si>
    <t xml:space="preserve">      7511 BBC Registeration Maint.</t>
  </si>
  <si>
    <t xml:space="preserve">   7500 Contract Service Expenses</t>
  </si>
  <si>
    <t>Expenditures</t>
  </si>
  <si>
    <t>Gross Profit</t>
  </si>
  <si>
    <t>Total Revenue</t>
  </si>
  <si>
    <t xml:space="preserve">   Total 5400 Revenue From Sales</t>
  </si>
  <si>
    <t xml:space="preserve">      5410 Non-inventory Sales</t>
  </si>
  <si>
    <t xml:space="preserve">   5400 Revenue From Sales</t>
  </si>
  <si>
    <t xml:space="preserve">   Total 5100 Program Sales &amp; Fees</t>
  </si>
  <si>
    <t xml:space="preserve">      Total 5150 Advertising Fees</t>
  </si>
  <si>
    <t xml:space="preserve">         5153 Web - Farm Listing</t>
  </si>
  <si>
    <t xml:space="preserve">         5152 Web - For Sale</t>
  </si>
  <si>
    <t xml:space="preserve">      5150 Advertising Fees</t>
  </si>
  <si>
    <t xml:space="preserve">      Total 5140 Registration Fees</t>
  </si>
  <si>
    <t xml:space="preserve">         5145 Replacement Certificate Fees</t>
  </si>
  <si>
    <t xml:space="preserve">         5144 Steer Registrations</t>
  </si>
  <si>
    <t xml:space="preserve">         5143 Bull Registrations</t>
  </si>
  <si>
    <t xml:space="preserve">         5142 Late (Cows) Registration</t>
  </si>
  <si>
    <t xml:space="preserve">         5141 Heifers Registrations</t>
  </si>
  <si>
    <t xml:space="preserve">      5140 Registration Fees</t>
  </si>
  <si>
    <t xml:space="preserve">      5130 Sponsorships</t>
  </si>
  <si>
    <t xml:space="preserve">      Total 5120 Membership Fees</t>
  </si>
  <si>
    <t xml:space="preserve">         5123 Family Dues</t>
  </si>
  <si>
    <t xml:space="preserve">         5122 Individual Dues</t>
  </si>
  <si>
    <t xml:space="preserve">      5120 Membership Fees</t>
  </si>
  <si>
    <t xml:space="preserve">      5115 Animal Transfer Fees</t>
  </si>
  <si>
    <t xml:space="preserve">   5100 Program Sales &amp; Fees</t>
  </si>
  <si>
    <t xml:space="preserve">   Total 4000 Direct Contributions</t>
  </si>
  <si>
    <t xml:space="preserve">      4010 Individual Contributions</t>
  </si>
  <si>
    <t xml:space="preserve">   4000 Direct Contributions</t>
  </si>
  <si>
    <t>Revenue</t>
  </si>
  <si>
    <t>January - February, 2026</t>
  </si>
  <si>
    <t>Statement of Financial Activity</t>
  </si>
  <si>
    <t>TOTAL</t>
  </si>
  <si>
    <t>Total 600 Administrative</t>
  </si>
  <si>
    <t>610 General Administrative</t>
  </si>
  <si>
    <t>600 Administrative</t>
  </si>
  <si>
    <t>Total 100 Programs</t>
  </si>
  <si>
    <t>120 EXPO</t>
  </si>
  <si>
    <t>110 General Programs</t>
  </si>
  <si>
    <t>100 Programs</t>
  </si>
  <si>
    <t>Statement of Financial Activity by Class</t>
  </si>
  <si>
    <t xml:space="preserve">         5124 Associate Dues</t>
  </si>
  <si>
    <t>Feb 2026</t>
  </si>
  <si>
    <t>Jan 2026</t>
  </si>
  <si>
    <t>Statement of Financial Activity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</si>
</sst>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42" fontId="1" fillId="0" borderId="1" xfId="0" applyNumberFormat="1" applyFont="1" applyBorder="1" applyAlignment="1">
      <alignment horizontal="center" wrapText="1"/>
    </xf>
    <xf numFmtId="42" fontId="3" fillId="0" borderId="0" xfId="0" applyNumberFormat="1" applyFont="1" applyAlignment="1">
      <alignment horizontal="left" wrapText="1"/>
    </xf>
    <xf numFmtId="42" fontId="2" fillId="0" borderId="2" xfId="0" applyNumberFormat="1" applyFont="1" applyBorder="1" applyAlignment="1">
      <alignment horizontal="left" wrapText="1"/>
    </xf>
    <xf numFmtId="42" fontId="2" fillId="0" borderId="3" xfId="0" applyNumberFormat="1" applyFont="1" applyBorder="1" applyAlignment="1">
      <alignment horizontal="left" wrapText="1"/>
    </xf>
    <xf numFmtId="42" fontId="0" fillId="0" borderId="0" xfId="0" applyNumberFormat="1" applyAlignment="1">
      <alignment horizontal="left"/>
    </xf>
    <xf numFmtId="42" fontId="2" fillId="0" borderId="0" xfId="0" applyNumberFormat="1" applyFont="1" applyAlignment="1">
      <alignment horizontal="left" wrapText="1"/>
    </xf>
    <xf numFmtId="42" fontId="2" fillId="0" borderId="4" xfId="0" applyNumberFormat="1" applyFont="1" applyBorder="1" applyAlignment="1">
      <alignment horizontal="left" wrapText="1"/>
    </xf>
    <xf numFmtId="42" fontId="2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3"/>
  <sheetViews>
    <sheetView tabSelected="1" zoomScale="130" zoomScaleNormal="130" workbookViewId="0">
      <pane ySplit="5" topLeftCell="A12" activePane="bottomLeft" state="frozen"/>
      <selection pane="bottomLeft" activeCell="G22" sqref="G22"/>
    </sheetView>
  </sheetViews>
  <sheetFormatPr baseColWidth="10" defaultColWidth="8.83203125" defaultRowHeight="15" x14ac:dyDescent="0.2"/>
  <cols>
    <col min="1" max="1" width="40.83203125" customWidth="1"/>
    <col min="2" max="2" width="25.83203125" style="7" customWidth="1"/>
  </cols>
  <sheetData>
    <row r="1" spans="1:2" ht="18" x14ac:dyDescent="0.2">
      <c r="A1" s="11" t="s">
        <v>33</v>
      </c>
      <c r="B1" s="12"/>
    </row>
    <row r="2" spans="1:2" ht="18" x14ac:dyDescent="0.2">
      <c r="A2" s="11" t="s">
        <v>34</v>
      </c>
      <c r="B2" s="12"/>
    </row>
    <row r="3" spans="1:2" x14ac:dyDescent="0.2">
      <c r="A3" s="13" t="s">
        <v>35</v>
      </c>
      <c r="B3" s="12"/>
    </row>
    <row r="5" spans="1:2" x14ac:dyDescent="0.2">
      <c r="A5" s="1"/>
      <c r="B5" s="3" t="s">
        <v>0</v>
      </c>
    </row>
    <row r="6" spans="1:2" x14ac:dyDescent="0.2">
      <c r="A6" s="2" t="s">
        <v>1</v>
      </c>
      <c r="B6" s="4"/>
    </row>
    <row r="7" spans="1:2" x14ac:dyDescent="0.2">
      <c r="A7" s="2" t="s">
        <v>2</v>
      </c>
      <c r="B7" s="4"/>
    </row>
    <row r="8" spans="1:2" x14ac:dyDescent="0.2">
      <c r="A8" s="2" t="s">
        <v>3</v>
      </c>
      <c r="B8" s="4"/>
    </row>
    <row r="9" spans="1:2" x14ac:dyDescent="0.2">
      <c r="A9" s="2" t="s">
        <v>4</v>
      </c>
      <c r="B9" s="4"/>
    </row>
    <row r="10" spans="1:2" x14ac:dyDescent="0.2">
      <c r="A10" s="2" t="s">
        <v>5</v>
      </c>
      <c r="B10" s="4">
        <f>34503.3</f>
        <v>34503.300000000003</v>
      </c>
    </row>
    <row r="11" spans="1:2" x14ac:dyDescent="0.2">
      <c r="A11" s="2" t="s">
        <v>6</v>
      </c>
      <c r="B11" s="4">
        <f>55539.35</f>
        <v>55539.35</v>
      </c>
    </row>
    <row r="12" spans="1:2" x14ac:dyDescent="0.2">
      <c r="A12" s="2" t="s">
        <v>7</v>
      </c>
      <c r="B12" s="4">
        <f>103974.34</f>
        <v>103974.34</v>
      </c>
    </row>
    <row r="13" spans="1:2" x14ac:dyDescent="0.2">
      <c r="A13" s="2" t="s">
        <v>8</v>
      </c>
      <c r="B13" s="4">
        <f>111791.59</f>
        <v>111791.59</v>
      </c>
    </row>
    <row r="14" spans="1:2" x14ac:dyDescent="0.2">
      <c r="A14" s="2" t="s">
        <v>9</v>
      </c>
      <c r="B14" s="4">
        <f>18072.45</f>
        <v>18072.45</v>
      </c>
    </row>
    <row r="15" spans="1:2" x14ac:dyDescent="0.2">
      <c r="A15" s="2" t="s">
        <v>10</v>
      </c>
      <c r="B15" s="4">
        <f>6077.04</f>
        <v>6077.04</v>
      </c>
    </row>
    <row r="16" spans="1:2" hidden="1" x14ac:dyDescent="0.2">
      <c r="A16" s="2" t="s">
        <v>11</v>
      </c>
      <c r="B16" s="5">
        <f>((((((B9)+(B10))+(B11))+(B12))+(B13))+(B14))+(B15)</f>
        <v>329958.06999999995</v>
      </c>
    </row>
    <row r="17" spans="1:2" x14ac:dyDescent="0.2">
      <c r="A17" s="2" t="s">
        <v>12</v>
      </c>
      <c r="B17" s="5">
        <f>B16</f>
        <v>329958.06999999995</v>
      </c>
    </row>
    <row r="18" spans="1:2" hidden="1" x14ac:dyDescent="0.2">
      <c r="A18" s="2" t="s">
        <v>13</v>
      </c>
      <c r="B18" s="5">
        <f>B17</f>
        <v>329958.06999999995</v>
      </c>
    </row>
    <row r="19" spans="1:2" x14ac:dyDescent="0.2">
      <c r="A19" s="2"/>
      <c r="B19" s="10"/>
    </row>
    <row r="20" spans="1:2" ht="16" thickBot="1" x14ac:dyDescent="0.25">
      <c r="A20" s="2" t="s">
        <v>14</v>
      </c>
      <c r="B20" s="9">
        <f>B18</f>
        <v>329958.06999999995</v>
      </c>
    </row>
    <row r="21" spans="1:2" ht="16" thickTop="1" x14ac:dyDescent="0.2">
      <c r="A21" s="2"/>
      <c r="B21" s="8"/>
    </row>
    <row r="22" spans="1:2" x14ac:dyDescent="0.2">
      <c r="A22" s="2" t="s">
        <v>15</v>
      </c>
      <c r="B22" s="4"/>
    </row>
    <row r="23" spans="1:2" x14ac:dyDescent="0.2">
      <c r="A23" s="2" t="s">
        <v>16</v>
      </c>
      <c r="B23" s="4"/>
    </row>
    <row r="24" spans="1:2" hidden="1" x14ac:dyDescent="0.2">
      <c r="A24" s="2" t="s">
        <v>17</v>
      </c>
      <c r="B24" s="4"/>
    </row>
    <row r="25" spans="1:2" hidden="1" x14ac:dyDescent="0.2">
      <c r="A25" s="2" t="s">
        <v>18</v>
      </c>
      <c r="B25" s="4"/>
    </row>
    <row r="26" spans="1:2" hidden="1" x14ac:dyDescent="0.2">
      <c r="A26" s="2" t="s">
        <v>19</v>
      </c>
      <c r="B26" s="4">
        <f>50</f>
        <v>50</v>
      </c>
    </row>
    <row r="27" spans="1:2" hidden="1" x14ac:dyDescent="0.2">
      <c r="A27" s="2" t="s">
        <v>20</v>
      </c>
      <c r="B27" s="5">
        <f>B26</f>
        <v>50</v>
      </c>
    </row>
    <row r="28" spans="1:2" hidden="1" x14ac:dyDescent="0.2">
      <c r="A28" s="2"/>
      <c r="B28" s="8"/>
    </row>
    <row r="29" spans="1:2" x14ac:dyDescent="0.2">
      <c r="A29" s="2" t="s">
        <v>21</v>
      </c>
      <c r="B29" s="4"/>
    </row>
    <row r="30" spans="1:2" x14ac:dyDescent="0.2">
      <c r="A30" s="2" t="s">
        <v>22</v>
      </c>
      <c r="B30" s="4"/>
    </row>
    <row r="31" spans="1:2" x14ac:dyDescent="0.2">
      <c r="A31" s="2" t="s">
        <v>23</v>
      </c>
      <c r="B31" s="4">
        <f>2141.99</f>
        <v>2141.9899999999998</v>
      </c>
    </row>
    <row r="32" spans="1:2" hidden="1" x14ac:dyDescent="0.2">
      <c r="A32" s="2" t="s">
        <v>24</v>
      </c>
      <c r="B32" s="5">
        <f>(B30)+(B31)</f>
        <v>2141.9899999999998</v>
      </c>
    </row>
    <row r="33" spans="1:2" hidden="1" x14ac:dyDescent="0.2">
      <c r="A33" s="2" t="s">
        <v>25</v>
      </c>
      <c r="B33" s="5">
        <f>B32</f>
        <v>2141.9899999999998</v>
      </c>
    </row>
    <row r="34" spans="1:2" hidden="1" x14ac:dyDescent="0.2">
      <c r="A34" s="2" t="s">
        <v>26</v>
      </c>
      <c r="B34" s="5">
        <f>(B27)+(B33)</f>
        <v>2191.9899999999998</v>
      </c>
    </row>
    <row r="35" spans="1:2" x14ac:dyDescent="0.2">
      <c r="A35" s="2" t="s">
        <v>27</v>
      </c>
      <c r="B35" s="5">
        <f>B34</f>
        <v>2191.9899999999998</v>
      </c>
    </row>
    <row r="36" spans="1:2" x14ac:dyDescent="0.2">
      <c r="A36" s="2"/>
      <c r="B36" s="8"/>
    </row>
    <row r="37" spans="1:2" x14ac:dyDescent="0.2">
      <c r="A37" s="2" t="s">
        <v>28</v>
      </c>
      <c r="B37" s="4"/>
    </row>
    <row r="38" spans="1:2" x14ac:dyDescent="0.2">
      <c r="A38" s="2" t="s">
        <v>29</v>
      </c>
      <c r="B38" s="4">
        <f>302231.46</f>
        <v>302231.46000000002</v>
      </c>
    </row>
    <row r="39" spans="1:2" x14ac:dyDescent="0.2">
      <c r="A39" s="2" t="s">
        <v>30</v>
      </c>
      <c r="B39" s="4">
        <f>25534.62</f>
        <v>25534.62</v>
      </c>
    </row>
    <row r="40" spans="1:2" x14ac:dyDescent="0.2">
      <c r="A40" s="2" t="s">
        <v>31</v>
      </c>
      <c r="B40" s="5">
        <f>(B38)+(B39)</f>
        <v>327766.08</v>
      </c>
    </row>
    <row r="41" spans="1:2" x14ac:dyDescent="0.2">
      <c r="A41" s="2"/>
      <c r="B41" s="10"/>
    </row>
    <row r="42" spans="1:2" ht="16" thickBot="1" x14ac:dyDescent="0.25">
      <c r="A42" s="2" t="s">
        <v>32</v>
      </c>
      <c r="B42" s="9">
        <f>(B35)+(B40)</f>
        <v>329958.07</v>
      </c>
    </row>
    <row r="43" spans="1:2" ht="16" thickTop="1" x14ac:dyDescent="0.2">
      <c r="A43" s="2"/>
      <c r="B43" s="4"/>
    </row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9B6A-A6F1-40D0-A997-EED44BF2A1BA}">
  <sheetPr>
    <pageSetUpPr fitToPage="1"/>
  </sheetPr>
  <dimension ref="A1:B80"/>
  <sheetViews>
    <sheetView zoomScale="130" zoomScaleNormal="130" workbookViewId="0">
      <pane ySplit="5" topLeftCell="A64" activePane="bottomLeft" state="frozen"/>
      <selection pane="bottomLeft" sqref="A1:B1"/>
    </sheetView>
  </sheetViews>
  <sheetFormatPr baseColWidth="10" defaultColWidth="8.83203125" defaultRowHeight="15" x14ac:dyDescent="0.2"/>
  <cols>
    <col min="1" max="1" width="40.83203125" customWidth="1"/>
    <col min="2" max="2" width="25.83203125" style="7" customWidth="1"/>
  </cols>
  <sheetData>
    <row r="1" spans="1:2" ht="18" x14ac:dyDescent="0.2">
      <c r="A1" s="11" t="s">
        <v>33</v>
      </c>
      <c r="B1" s="12"/>
    </row>
    <row r="2" spans="1:2" ht="18" x14ac:dyDescent="0.2">
      <c r="A2" s="11" t="s">
        <v>100</v>
      </c>
      <c r="B2" s="12"/>
    </row>
    <row r="3" spans="1:2" x14ac:dyDescent="0.2">
      <c r="A3" s="13" t="s">
        <v>99</v>
      </c>
      <c r="B3" s="12"/>
    </row>
    <row r="5" spans="1:2" x14ac:dyDescent="0.2">
      <c r="A5" s="1"/>
      <c r="B5" s="3" t="s">
        <v>0</v>
      </c>
    </row>
    <row r="6" spans="1:2" x14ac:dyDescent="0.2">
      <c r="A6" s="2" t="s">
        <v>98</v>
      </c>
      <c r="B6" s="4"/>
    </row>
    <row r="7" spans="1:2" x14ac:dyDescent="0.2">
      <c r="A7" s="2" t="s">
        <v>97</v>
      </c>
      <c r="B7" s="4"/>
    </row>
    <row r="8" spans="1:2" x14ac:dyDescent="0.2">
      <c r="A8" s="2" t="s">
        <v>96</v>
      </c>
      <c r="B8" s="4">
        <f>10</f>
        <v>10</v>
      </c>
    </row>
    <row r="9" spans="1:2" x14ac:dyDescent="0.2">
      <c r="A9" s="2" t="s">
        <v>95</v>
      </c>
      <c r="B9" s="6">
        <f>(B7)+(B8)</f>
        <v>10</v>
      </c>
    </row>
    <row r="10" spans="1:2" x14ac:dyDescent="0.2">
      <c r="A10" s="2"/>
      <c r="B10" s="8"/>
    </row>
    <row r="11" spans="1:2" x14ac:dyDescent="0.2">
      <c r="A11" s="2" t="s">
        <v>94</v>
      </c>
      <c r="B11" s="4"/>
    </row>
    <row r="12" spans="1:2" x14ac:dyDescent="0.2">
      <c r="A12" s="2" t="s">
        <v>93</v>
      </c>
      <c r="B12" s="4">
        <f>7295</f>
        <v>7295</v>
      </c>
    </row>
    <row r="13" spans="1:2" x14ac:dyDescent="0.2">
      <c r="A13" s="2" t="s">
        <v>92</v>
      </c>
      <c r="B13" s="4"/>
    </row>
    <row r="14" spans="1:2" x14ac:dyDescent="0.2">
      <c r="A14" s="2" t="s">
        <v>91</v>
      </c>
      <c r="B14" s="4">
        <f>22580</f>
        <v>22580</v>
      </c>
    </row>
    <row r="15" spans="1:2" x14ac:dyDescent="0.2">
      <c r="A15" s="2" t="s">
        <v>90</v>
      </c>
      <c r="B15" s="4">
        <f>1885</f>
        <v>1885</v>
      </c>
    </row>
    <row r="16" spans="1:2" hidden="1" x14ac:dyDescent="0.2">
      <c r="A16" s="2" t="s">
        <v>89</v>
      </c>
      <c r="B16" s="6">
        <f>((B13)+(B14))+(B15)</f>
        <v>24465</v>
      </c>
    </row>
    <row r="17" spans="1:2" x14ac:dyDescent="0.2">
      <c r="A17" s="2" t="s">
        <v>88</v>
      </c>
      <c r="B17" s="4">
        <f>4800</f>
        <v>4800</v>
      </c>
    </row>
    <row r="18" spans="1:2" x14ac:dyDescent="0.2">
      <c r="A18" s="2" t="s">
        <v>87</v>
      </c>
      <c r="B18" s="4"/>
    </row>
    <row r="19" spans="1:2" x14ac:dyDescent="0.2">
      <c r="A19" s="2" t="s">
        <v>86</v>
      </c>
      <c r="B19" s="4">
        <f>6000</f>
        <v>6000</v>
      </c>
    </row>
    <row r="20" spans="1:2" x14ac:dyDescent="0.2">
      <c r="A20" s="2" t="s">
        <v>85</v>
      </c>
      <c r="B20" s="4">
        <f>1450</f>
        <v>1450</v>
      </c>
    </row>
    <row r="21" spans="1:2" x14ac:dyDescent="0.2">
      <c r="A21" s="2" t="s">
        <v>84</v>
      </c>
      <c r="B21" s="4">
        <f>3625</f>
        <v>3625</v>
      </c>
    </row>
    <row r="22" spans="1:2" x14ac:dyDescent="0.2">
      <c r="A22" s="2" t="s">
        <v>83</v>
      </c>
      <c r="B22" s="4">
        <f>80</f>
        <v>80</v>
      </c>
    </row>
    <row r="23" spans="1:2" x14ac:dyDescent="0.2">
      <c r="A23" s="2" t="s">
        <v>82</v>
      </c>
      <c r="B23" s="4">
        <f>30</f>
        <v>30</v>
      </c>
    </row>
    <row r="24" spans="1:2" hidden="1" x14ac:dyDescent="0.2">
      <c r="A24" s="2" t="s">
        <v>81</v>
      </c>
      <c r="B24" s="6">
        <f>(((((B18)+(B19))+(B20))+(B21))+(B22))+(B23)</f>
        <v>11185</v>
      </c>
    </row>
    <row r="25" spans="1:2" x14ac:dyDescent="0.2">
      <c r="A25" s="2" t="s">
        <v>80</v>
      </c>
      <c r="B25" s="4"/>
    </row>
    <row r="26" spans="1:2" x14ac:dyDescent="0.2">
      <c r="A26" s="2" t="s">
        <v>79</v>
      </c>
      <c r="B26" s="4">
        <f>300</f>
        <v>300</v>
      </c>
    </row>
    <row r="27" spans="1:2" x14ac:dyDescent="0.2">
      <c r="A27" s="2" t="s">
        <v>78</v>
      </c>
      <c r="B27" s="4">
        <f>1800</f>
        <v>1800</v>
      </c>
    </row>
    <row r="28" spans="1:2" hidden="1" x14ac:dyDescent="0.2">
      <c r="A28" s="2" t="s">
        <v>77</v>
      </c>
      <c r="B28" s="6">
        <f>((B25)+(B26))+(B27)</f>
        <v>2100</v>
      </c>
    </row>
    <row r="29" spans="1:2" x14ac:dyDescent="0.2">
      <c r="A29" s="2" t="s">
        <v>76</v>
      </c>
      <c r="B29" s="6">
        <f>(((((B11)+(B12))+(B16))+(B17))+(B24))+(B28)</f>
        <v>49845</v>
      </c>
    </row>
    <row r="30" spans="1:2" x14ac:dyDescent="0.2">
      <c r="A30" s="2"/>
      <c r="B30" s="8"/>
    </row>
    <row r="31" spans="1:2" x14ac:dyDescent="0.2">
      <c r="A31" s="2" t="s">
        <v>75</v>
      </c>
      <c r="B31" s="4"/>
    </row>
    <row r="32" spans="1:2" x14ac:dyDescent="0.2">
      <c r="A32" s="2" t="s">
        <v>74</v>
      </c>
      <c r="B32" s="4">
        <f>50</f>
        <v>50</v>
      </c>
    </row>
    <row r="33" spans="1:2" x14ac:dyDescent="0.2">
      <c r="A33" s="2" t="s">
        <v>73</v>
      </c>
      <c r="B33" s="6">
        <f>(B31)+(B32)</f>
        <v>50</v>
      </c>
    </row>
    <row r="34" spans="1:2" x14ac:dyDescent="0.2">
      <c r="A34" s="2"/>
      <c r="B34" s="8"/>
    </row>
    <row r="35" spans="1:2" x14ac:dyDescent="0.2">
      <c r="A35" s="2" t="s">
        <v>72</v>
      </c>
      <c r="B35" s="6">
        <f>((B9)+(B29))+(B33)</f>
        <v>49905</v>
      </c>
    </row>
    <row r="36" spans="1:2" hidden="1" x14ac:dyDescent="0.2">
      <c r="A36" s="2" t="s">
        <v>71</v>
      </c>
      <c r="B36" s="6">
        <f>(B35)-(0)</f>
        <v>49905</v>
      </c>
    </row>
    <row r="37" spans="1:2" x14ac:dyDescent="0.2">
      <c r="A37" s="2"/>
      <c r="B37" s="8"/>
    </row>
    <row r="38" spans="1:2" x14ac:dyDescent="0.2">
      <c r="A38" s="2" t="s">
        <v>70</v>
      </c>
      <c r="B38" s="4"/>
    </row>
    <row r="39" spans="1:2" x14ac:dyDescent="0.2">
      <c r="A39" s="2" t="s">
        <v>69</v>
      </c>
      <c r="B39" s="4"/>
    </row>
    <row r="40" spans="1:2" x14ac:dyDescent="0.2">
      <c r="A40" s="2" t="s">
        <v>68</v>
      </c>
      <c r="B40" s="4">
        <f>600</f>
        <v>600</v>
      </c>
    </row>
    <row r="41" spans="1:2" x14ac:dyDescent="0.2">
      <c r="A41" s="2" t="s">
        <v>67</v>
      </c>
      <c r="B41" s="4">
        <f>7626</f>
        <v>7626</v>
      </c>
    </row>
    <row r="42" spans="1:2" x14ac:dyDescent="0.2">
      <c r="A42" s="2" t="s">
        <v>66</v>
      </c>
      <c r="B42" s="4">
        <f>2048</f>
        <v>2048</v>
      </c>
    </row>
    <row r="43" spans="1:2" x14ac:dyDescent="0.2">
      <c r="A43" s="2" t="s">
        <v>65</v>
      </c>
      <c r="B43" s="4">
        <f>2736</f>
        <v>2736</v>
      </c>
    </row>
    <row r="44" spans="1:2" x14ac:dyDescent="0.2">
      <c r="A44" s="2" t="s">
        <v>64</v>
      </c>
      <c r="B44" s="4">
        <f>2370</f>
        <v>2370</v>
      </c>
    </row>
    <row r="45" spans="1:2" x14ac:dyDescent="0.2">
      <c r="A45" s="2" t="s">
        <v>63</v>
      </c>
      <c r="B45" s="6">
        <f>(((((B39)+(B40))+(B41))+(B42))+(B43))+(B44)</f>
        <v>15380</v>
      </c>
    </row>
    <row r="46" spans="1:2" x14ac:dyDescent="0.2">
      <c r="A46" s="2"/>
      <c r="B46" s="8"/>
    </row>
    <row r="47" spans="1:2" x14ac:dyDescent="0.2">
      <c r="A47" s="2" t="s">
        <v>62</v>
      </c>
      <c r="B47" s="4"/>
    </row>
    <row r="48" spans="1:2" x14ac:dyDescent="0.2">
      <c r="A48" s="2" t="s">
        <v>61</v>
      </c>
      <c r="B48" s="4">
        <f>541.72</f>
        <v>541.72</v>
      </c>
    </row>
    <row r="49" spans="1:2" x14ac:dyDescent="0.2">
      <c r="A49" s="2" t="s">
        <v>60</v>
      </c>
      <c r="B49" s="4">
        <f>496.06</f>
        <v>496.06</v>
      </c>
    </row>
    <row r="50" spans="1:2" x14ac:dyDescent="0.2">
      <c r="A50" s="2" t="s">
        <v>59</v>
      </c>
      <c r="B50" s="4">
        <f>815.8</f>
        <v>815.8</v>
      </c>
    </row>
    <row r="51" spans="1:2" x14ac:dyDescent="0.2">
      <c r="A51" s="2" t="s">
        <v>58</v>
      </c>
      <c r="B51" s="4">
        <f>2250.11</f>
        <v>2250.11</v>
      </c>
    </row>
    <row r="52" spans="1:2" x14ac:dyDescent="0.2">
      <c r="A52" s="2" t="s">
        <v>57</v>
      </c>
      <c r="B52" s="6">
        <f>((((B47)+(B48))+(B49))+(B50))+(B51)</f>
        <v>4103.6900000000005</v>
      </c>
    </row>
    <row r="53" spans="1:2" x14ac:dyDescent="0.2">
      <c r="A53" s="2"/>
      <c r="B53" s="8"/>
    </row>
    <row r="54" spans="1:2" x14ac:dyDescent="0.2">
      <c r="A54" s="2" t="s">
        <v>56</v>
      </c>
      <c r="B54" s="4"/>
    </row>
    <row r="55" spans="1:2" x14ac:dyDescent="0.2">
      <c r="A55" s="2" t="s">
        <v>55</v>
      </c>
      <c r="B55" s="4">
        <f>31.35</f>
        <v>31.35</v>
      </c>
    </row>
    <row r="56" spans="1:2" x14ac:dyDescent="0.2">
      <c r="A56" s="2" t="s">
        <v>54</v>
      </c>
      <c r="B56" s="4">
        <f>44</f>
        <v>44</v>
      </c>
    </row>
    <row r="57" spans="1:2" x14ac:dyDescent="0.2">
      <c r="A57" s="2" t="s">
        <v>53</v>
      </c>
      <c r="B57" s="6">
        <f>((B54)+(B55))+(B56)</f>
        <v>75.349999999999994</v>
      </c>
    </row>
    <row r="58" spans="1:2" x14ac:dyDescent="0.2">
      <c r="A58" s="2"/>
      <c r="B58" s="8"/>
    </row>
    <row r="59" spans="1:2" x14ac:dyDescent="0.2">
      <c r="A59" s="2" t="s">
        <v>52</v>
      </c>
      <c r="B59" s="4"/>
    </row>
    <row r="60" spans="1:2" x14ac:dyDescent="0.2">
      <c r="A60" s="2" t="s">
        <v>51</v>
      </c>
      <c r="B60" s="4"/>
    </row>
    <row r="61" spans="1:2" x14ac:dyDescent="0.2">
      <c r="A61" s="2" t="s">
        <v>50</v>
      </c>
      <c r="B61" s="4">
        <f>2129</f>
        <v>2129</v>
      </c>
    </row>
    <row r="62" spans="1:2" x14ac:dyDescent="0.2">
      <c r="A62" s="2" t="s">
        <v>49</v>
      </c>
      <c r="B62" s="6">
        <f>(B60)+(B61)</f>
        <v>2129</v>
      </c>
    </row>
    <row r="63" spans="1:2" x14ac:dyDescent="0.2">
      <c r="A63" s="2"/>
      <c r="B63" s="8"/>
    </row>
    <row r="64" spans="1:2" x14ac:dyDescent="0.2">
      <c r="A64" s="2" t="s">
        <v>48</v>
      </c>
      <c r="B64" s="4">
        <f>61.25</f>
        <v>61.25</v>
      </c>
    </row>
    <row r="65" spans="1:2" x14ac:dyDescent="0.2">
      <c r="A65" s="2" t="s">
        <v>47</v>
      </c>
      <c r="B65" s="4">
        <f>2238.41</f>
        <v>2238.41</v>
      </c>
    </row>
    <row r="66" spans="1:2" x14ac:dyDescent="0.2">
      <c r="A66" s="2" t="s">
        <v>46</v>
      </c>
      <c r="B66" s="4">
        <f>405</f>
        <v>405</v>
      </c>
    </row>
    <row r="67" spans="1:2" x14ac:dyDescent="0.2">
      <c r="A67" s="2" t="s">
        <v>45</v>
      </c>
      <c r="B67" s="6">
        <f>((((B59)+(B62))+(B64))+(B65))+(B66)</f>
        <v>4833.66</v>
      </c>
    </row>
    <row r="68" spans="1:2" x14ac:dyDescent="0.2">
      <c r="A68" s="2"/>
      <c r="B68" s="8"/>
    </row>
    <row r="69" spans="1:2" x14ac:dyDescent="0.2">
      <c r="A69" s="2" t="s">
        <v>44</v>
      </c>
      <c r="B69" s="6">
        <f>(((B45)+(B52))+(B57))+(B67)</f>
        <v>24392.7</v>
      </c>
    </row>
    <row r="70" spans="1:2" hidden="1" x14ac:dyDescent="0.2">
      <c r="A70" s="2" t="s">
        <v>43</v>
      </c>
      <c r="B70" s="6">
        <f>(B36)-(B69)</f>
        <v>25512.3</v>
      </c>
    </row>
    <row r="71" spans="1:2" x14ac:dyDescent="0.2">
      <c r="A71" s="2"/>
      <c r="B71" s="8"/>
    </row>
    <row r="72" spans="1:2" x14ac:dyDescent="0.2">
      <c r="A72" s="2" t="s">
        <v>42</v>
      </c>
      <c r="B72" s="4"/>
    </row>
    <row r="73" spans="1:2" x14ac:dyDescent="0.2">
      <c r="A73" s="2" t="s">
        <v>41</v>
      </c>
      <c r="B73" s="4"/>
    </row>
    <row r="74" spans="1:2" x14ac:dyDescent="0.2">
      <c r="A74" s="2" t="s">
        <v>40</v>
      </c>
      <c r="B74" s="4">
        <f>22.32</f>
        <v>22.32</v>
      </c>
    </row>
    <row r="75" spans="1:2" hidden="1" x14ac:dyDescent="0.2">
      <c r="A75" s="2" t="s">
        <v>39</v>
      </c>
      <c r="B75" s="6">
        <f>(B73)+(B74)</f>
        <v>22.32</v>
      </c>
    </row>
    <row r="76" spans="1:2" hidden="1" x14ac:dyDescent="0.2">
      <c r="A76" s="2" t="s">
        <v>38</v>
      </c>
      <c r="B76" s="6">
        <f>B75</f>
        <v>22.32</v>
      </c>
    </row>
    <row r="77" spans="1:2" x14ac:dyDescent="0.2">
      <c r="A77" s="2" t="s">
        <v>37</v>
      </c>
      <c r="B77" s="6">
        <f>(B76)-(0)</f>
        <v>22.32</v>
      </c>
    </row>
    <row r="78" spans="1:2" x14ac:dyDescent="0.2">
      <c r="A78" s="2"/>
      <c r="B78" s="8"/>
    </row>
    <row r="79" spans="1:2" ht="16" thickBot="1" x14ac:dyDescent="0.25">
      <c r="A79" s="2" t="s">
        <v>36</v>
      </c>
      <c r="B79" s="9">
        <f>(B70)+(B77)</f>
        <v>25534.62</v>
      </c>
    </row>
    <row r="80" spans="1:2" ht="16" thickTop="1" x14ac:dyDescent="0.2">
      <c r="A80" s="2"/>
      <c r="B80" s="4"/>
    </row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fitToHeight="0" orientation="portrait" r:id="rId1"/>
  <headerFooter>
    <oddFooter>Page &amp;P of &amp;N</oddFooter>
  </headerFooter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D5ED-2A7F-4C7A-84E7-21EEE2A210FC}">
  <dimension ref="A1:I80"/>
  <sheetViews>
    <sheetView zoomScale="130" zoomScaleNormal="130" workbookViewId="0">
      <pane xSplit="1" ySplit="5" topLeftCell="B67" activePane="bottomRight" state="frozen"/>
      <selection pane="topRight" activeCell="B1" sqref="B1"/>
      <selection pane="bottomLeft" activeCell="A6" sqref="A6"/>
      <selection pane="bottomRight" sqref="A1:I1"/>
    </sheetView>
  </sheetViews>
  <sheetFormatPr baseColWidth="10" defaultColWidth="8.83203125" defaultRowHeight="15" x14ac:dyDescent="0.2"/>
  <cols>
    <col min="1" max="1" width="43" customWidth="1"/>
    <col min="2" max="9" width="12.83203125" style="7" customWidth="1"/>
  </cols>
  <sheetData>
    <row r="1" spans="1:9" ht="18" x14ac:dyDescent="0.2">
      <c r="A1" s="11" t="s">
        <v>33</v>
      </c>
      <c r="B1" s="12"/>
      <c r="C1" s="12"/>
      <c r="D1" s="12"/>
      <c r="E1" s="12"/>
      <c r="F1" s="12"/>
      <c r="G1" s="12"/>
      <c r="H1" s="12"/>
      <c r="I1" s="12"/>
    </row>
    <row r="2" spans="1:9" ht="18" x14ac:dyDescent="0.2">
      <c r="A2" s="11" t="s">
        <v>109</v>
      </c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99</v>
      </c>
      <c r="B3" s="12"/>
      <c r="C3" s="12"/>
      <c r="D3" s="12"/>
      <c r="E3" s="12"/>
      <c r="F3" s="12"/>
      <c r="G3" s="12"/>
      <c r="H3" s="12"/>
      <c r="I3" s="12"/>
    </row>
    <row r="5" spans="1:9" ht="27" x14ac:dyDescent="0.2">
      <c r="A5" s="1"/>
      <c r="B5" s="3" t="s">
        <v>108</v>
      </c>
      <c r="C5" s="3" t="s">
        <v>107</v>
      </c>
      <c r="D5" s="3" t="s">
        <v>106</v>
      </c>
      <c r="E5" s="3" t="s">
        <v>105</v>
      </c>
      <c r="F5" s="3" t="s">
        <v>104</v>
      </c>
      <c r="G5" s="3" t="s">
        <v>103</v>
      </c>
      <c r="H5" s="3" t="s">
        <v>102</v>
      </c>
      <c r="I5" s="3" t="s">
        <v>101</v>
      </c>
    </row>
    <row r="6" spans="1:9" x14ac:dyDescent="0.2">
      <c r="A6" s="2" t="s">
        <v>98</v>
      </c>
      <c r="B6" s="4"/>
      <c r="C6" s="4"/>
      <c r="D6" s="4"/>
      <c r="E6" s="4"/>
      <c r="F6" s="4"/>
      <c r="G6" s="4"/>
      <c r="H6" s="4"/>
      <c r="I6" s="4"/>
    </row>
    <row r="7" spans="1:9" x14ac:dyDescent="0.2">
      <c r="A7" s="2" t="s">
        <v>97</v>
      </c>
      <c r="B7" s="4"/>
      <c r="C7" s="4"/>
      <c r="D7" s="4"/>
      <c r="E7" s="4">
        <f>((B7)+(C7))+(D7)</f>
        <v>0</v>
      </c>
      <c r="F7" s="4"/>
      <c r="G7" s="4"/>
      <c r="H7" s="4">
        <f>(F7)+(G7)</f>
        <v>0</v>
      </c>
      <c r="I7" s="4">
        <f>(E7)+(H7)</f>
        <v>0</v>
      </c>
    </row>
    <row r="8" spans="1:9" x14ac:dyDescent="0.2">
      <c r="A8" s="2" t="s">
        <v>96</v>
      </c>
      <c r="B8" s="4"/>
      <c r="C8" s="4">
        <f>10</f>
        <v>10</v>
      </c>
      <c r="D8" s="4"/>
      <c r="E8" s="4">
        <f>((B8)+(C8))+(D8)</f>
        <v>10</v>
      </c>
      <c r="F8" s="4"/>
      <c r="G8" s="4"/>
      <c r="H8" s="4">
        <f>(F8)+(G8)</f>
        <v>0</v>
      </c>
      <c r="I8" s="4">
        <f>(E8)+(H8)</f>
        <v>10</v>
      </c>
    </row>
    <row r="9" spans="1:9" x14ac:dyDescent="0.2">
      <c r="A9" s="2" t="s">
        <v>95</v>
      </c>
      <c r="B9" s="6">
        <f>(B7)+(B8)</f>
        <v>0</v>
      </c>
      <c r="C9" s="6">
        <f>(C7)+(C8)</f>
        <v>10</v>
      </c>
      <c r="D9" s="6">
        <f>(D7)+(D8)</f>
        <v>0</v>
      </c>
      <c r="E9" s="6">
        <f>((B9)+(C9))+(D9)</f>
        <v>10</v>
      </c>
      <c r="F9" s="6">
        <f>(F7)+(F8)</f>
        <v>0</v>
      </c>
      <c r="G9" s="6">
        <f>(G7)+(G8)</f>
        <v>0</v>
      </c>
      <c r="H9" s="6">
        <f>(F9)+(G9)</f>
        <v>0</v>
      </c>
      <c r="I9" s="6">
        <f>(E9)+(H9)</f>
        <v>10</v>
      </c>
    </row>
    <row r="10" spans="1:9" x14ac:dyDescent="0.2">
      <c r="A10" s="2"/>
      <c r="B10" s="8"/>
      <c r="C10" s="8"/>
      <c r="D10" s="8"/>
      <c r="E10" s="8"/>
      <c r="F10" s="8"/>
      <c r="G10" s="8"/>
      <c r="H10" s="8"/>
      <c r="I10" s="8"/>
    </row>
    <row r="11" spans="1:9" x14ac:dyDescent="0.2">
      <c r="A11" s="2" t="s">
        <v>94</v>
      </c>
      <c r="B11" s="4"/>
      <c r="C11" s="4"/>
      <c r="D11" s="4"/>
      <c r="E11" s="4">
        <f t="shared" ref="E11:E29" si="0">((B11)+(C11))+(D11)</f>
        <v>0</v>
      </c>
      <c r="F11" s="4"/>
      <c r="G11" s="4"/>
      <c r="H11" s="4">
        <f t="shared" ref="H11:H29" si="1">(F11)+(G11)</f>
        <v>0</v>
      </c>
      <c r="I11" s="4">
        <f t="shared" ref="I11:I29" si="2">(E11)+(H11)</f>
        <v>0</v>
      </c>
    </row>
    <row r="12" spans="1:9" x14ac:dyDescent="0.2">
      <c r="A12" s="2" t="s">
        <v>93</v>
      </c>
      <c r="B12" s="4"/>
      <c r="C12" s="4">
        <f>7295</f>
        <v>7295</v>
      </c>
      <c r="D12" s="4"/>
      <c r="E12" s="4">
        <f t="shared" si="0"/>
        <v>7295</v>
      </c>
      <c r="F12" s="4"/>
      <c r="G12" s="4"/>
      <c r="H12" s="4">
        <f t="shared" si="1"/>
        <v>0</v>
      </c>
      <c r="I12" s="4">
        <f t="shared" si="2"/>
        <v>7295</v>
      </c>
    </row>
    <row r="13" spans="1:9" x14ac:dyDescent="0.2">
      <c r="A13" s="2" t="s">
        <v>92</v>
      </c>
      <c r="B13" s="4"/>
      <c r="C13" s="4"/>
      <c r="D13" s="4"/>
      <c r="E13" s="4">
        <f t="shared" si="0"/>
        <v>0</v>
      </c>
      <c r="F13" s="4"/>
      <c r="G13" s="4"/>
      <c r="H13" s="4">
        <f t="shared" si="1"/>
        <v>0</v>
      </c>
      <c r="I13" s="4">
        <f t="shared" si="2"/>
        <v>0</v>
      </c>
    </row>
    <row r="14" spans="1:9" x14ac:dyDescent="0.2">
      <c r="A14" s="2" t="s">
        <v>91</v>
      </c>
      <c r="B14" s="4"/>
      <c r="C14" s="4">
        <f>22580</f>
        <v>22580</v>
      </c>
      <c r="D14" s="4"/>
      <c r="E14" s="4">
        <f t="shared" si="0"/>
        <v>22580</v>
      </c>
      <c r="F14" s="4"/>
      <c r="G14" s="4"/>
      <c r="H14" s="4">
        <f t="shared" si="1"/>
        <v>0</v>
      </c>
      <c r="I14" s="4">
        <f t="shared" si="2"/>
        <v>22580</v>
      </c>
    </row>
    <row r="15" spans="1:9" x14ac:dyDescent="0.2">
      <c r="A15" s="2" t="s">
        <v>90</v>
      </c>
      <c r="B15" s="4"/>
      <c r="C15" s="4">
        <f>1885</f>
        <v>1885</v>
      </c>
      <c r="D15" s="4"/>
      <c r="E15" s="4">
        <f t="shared" si="0"/>
        <v>1885</v>
      </c>
      <c r="F15" s="4"/>
      <c r="G15" s="4"/>
      <c r="H15" s="4">
        <f t="shared" si="1"/>
        <v>0</v>
      </c>
      <c r="I15" s="4">
        <f t="shared" si="2"/>
        <v>1885</v>
      </c>
    </row>
    <row r="16" spans="1:9" hidden="1" x14ac:dyDescent="0.2">
      <c r="A16" s="2" t="s">
        <v>89</v>
      </c>
      <c r="B16" s="6">
        <f>((B13)+(B14))+(B15)</f>
        <v>0</v>
      </c>
      <c r="C16" s="6">
        <f>((C13)+(C14))+(C15)</f>
        <v>24465</v>
      </c>
      <c r="D16" s="6">
        <f>((D13)+(D14))+(D15)</f>
        <v>0</v>
      </c>
      <c r="E16" s="6">
        <f t="shared" si="0"/>
        <v>24465</v>
      </c>
      <c r="F16" s="6">
        <f>((F13)+(F14))+(F15)</f>
        <v>0</v>
      </c>
      <c r="G16" s="6">
        <f>((G13)+(G14))+(G15)</f>
        <v>0</v>
      </c>
      <c r="H16" s="6">
        <f t="shared" si="1"/>
        <v>0</v>
      </c>
      <c r="I16" s="6">
        <f t="shared" si="2"/>
        <v>24465</v>
      </c>
    </row>
    <row r="17" spans="1:9" x14ac:dyDescent="0.2">
      <c r="A17" s="2" t="s">
        <v>88</v>
      </c>
      <c r="B17" s="4"/>
      <c r="C17" s="4"/>
      <c r="D17" s="4">
        <f>4800</f>
        <v>4800</v>
      </c>
      <c r="E17" s="4">
        <f t="shared" si="0"/>
        <v>4800</v>
      </c>
      <c r="F17" s="4"/>
      <c r="G17" s="4"/>
      <c r="H17" s="4">
        <f t="shared" si="1"/>
        <v>0</v>
      </c>
      <c r="I17" s="4">
        <f t="shared" si="2"/>
        <v>4800</v>
      </c>
    </row>
    <row r="18" spans="1:9" x14ac:dyDescent="0.2">
      <c r="A18" s="2" t="s">
        <v>87</v>
      </c>
      <c r="B18" s="4"/>
      <c r="C18" s="4"/>
      <c r="D18" s="4"/>
      <c r="E18" s="4">
        <f t="shared" si="0"/>
        <v>0</v>
      </c>
      <c r="F18" s="4"/>
      <c r="G18" s="4"/>
      <c r="H18" s="4">
        <f t="shared" si="1"/>
        <v>0</v>
      </c>
      <c r="I18" s="4">
        <f t="shared" si="2"/>
        <v>0</v>
      </c>
    </row>
    <row r="19" spans="1:9" x14ac:dyDescent="0.2">
      <c r="A19" s="2" t="s">
        <v>86</v>
      </c>
      <c r="B19" s="4"/>
      <c r="C19" s="4">
        <f>6000</f>
        <v>6000</v>
      </c>
      <c r="D19" s="4"/>
      <c r="E19" s="4">
        <f t="shared" si="0"/>
        <v>6000</v>
      </c>
      <c r="F19" s="4"/>
      <c r="G19" s="4"/>
      <c r="H19" s="4">
        <f t="shared" si="1"/>
        <v>0</v>
      </c>
      <c r="I19" s="4">
        <f t="shared" si="2"/>
        <v>6000</v>
      </c>
    </row>
    <row r="20" spans="1:9" x14ac:dyDescent="0.2">
      <c r="A20" s="2" t="s">
        <v>85</v>
      </c>
      <c r="B20" s="4"/>
      <c r="C20" s="4">
        <f>1450</f>
        <v>1450</v>
      </c>
      <c r="D20" s="4"/>
      <c r="E20" s="4">
        <f t="shared" si="0"/>
        <v>1450</v>
      </c>
      <c r="F20" s="4"/>
      <c r="G20" s="4"/>
      <c r="H20" s="4">
        <f t="shared" si="1"/>
        <v>0</v>
      </c>
      <c r="I20" s="4">
        <f t="shared" si="2"/>
        <v>1450</v>
      </c>
    </row>
    <row r="21" spans="1:9" x14ac:dyDescent="0.2">
      <c r="A21" s="2" t="s">
        <v>84</v>
      </c>
      <c r="B21" s="4"/>
      <c r="C21" s="4">
        <f>3625</f>
        <v>3625</v>
      </c>
      <c r="D21" s="4"/>
      <c r="E21" s="4">
        <f t="shared" si="0"/>
        <v>3625</v>
      </c>
      <c r="F21" s="4"/>
      <c r="G21" s="4"/>
      <c r="H21" s="4">
        <f t="shared" si="1"/>
        <v>0</v>
      </c>
      <c r="I21" s="4">
        <f t="shared" si="2"/>
        <v>3625</v>
      </c>
    </row>
    <row r="22" spans="1:9" x14ac:dyDescent="0.2">
      <c r="A22" s="2" t="s">
        <v>83</v>
      </c>
      <c r="B22" s="4"/>
      <c r="C22" s="4">
        <f>80</f>
        <v>80</v>
      </c>
      <c r="D22" s="4"/>
      <c r="E22" s="4">
        <f t="shared" si="0"/>
        <v>80</v>
      </c>
      <c r="F22" s="4"/>
      <c r="G22" s="4"/>
      <c r="H22" s="4">
        <f t="shared" si="1"/>
        <v>0</v>
      </c>
      <c r="I22" s="4">
        <f t="shared" si="2"/>
        <v>80</v>
      </c>
    </row>
    <row r="23" spans="1:9" x14ac:dyDescent="0.2">
      <c r="A23" s="2" t="s">
        <v>82</v>
      </c>
      <c r="B23" s="4"/>
      <c r="C23" s="4">
        <f>30</f>
        <v>30</v>
      </c>
      <c r="D23" s="4"/>
      <c r="E23" s="4">
        <f t="shared" si="0"/>
        <v>30</v>
      </c>
      <c r="F23" s="4"/>
      <c r="G23" s="4"/>
      <c r="H23" s="4">
        <f t="shared" si="1"/>
        <v>0</v>
      </c>
      <c r="I23" s="4">
        <f t="shared" si="2"/>
        <v>30</v>
      </c>
    </row>
    <row r="24" spans="1:9" hidden="1" x14ac:dyDescent="0.2">
      <c r="A24" s="2" t="s">
        <v>81</v>
      </c>
      <c r="B24" s="6">
        <f>(((((B18)+(B19))+(B20))+(B21))+(B22))+(B23)</f>
        <v>0</v>
      </c>
      <c r="C24" s="6">
        <f>(((((C18)+(C19))+(C20))+(C21))+(C22))+(C23)</f>
        <v>11185</v>
      </c>
      <c r="D24" s="6">
        <f>(((((D18)+(D19))+(D20))+(D21))+(D22))+(D23)</f>
        <v>0</v>
      </c>
      <c r="E24" s="6">
        <f t="shared" si="0"/>
        <v>11185</v>
      </c>
      <c r="F24" s="6">
        <f>(((((F18)+(F19))+(F20))+(F21))+(F22))+(F23)</f>
        <v>0</v>
      </c>
      <c r="G24" s="6">
        <f>(((((G18)+(G19))+(G20))+(G21))+(G22))+(G23)</f>
        <v>0</v>
      </c>
      <c r="H24" s="6">
        <f t="shared" si="1"/>
        <v>0</v>
      </c>
      <c r="I24" s="6">
        <f t="shared" si="2"/>
        <v>11185</v>
      </c>
    </row>
    <row r="25" spans="1:9" x14ac:dyDescent="0.2">
      <c r="A25" s="2" t="s">
        <v>80</v>
      </c>
      <c r="B25" s="4"/>
      <c r="C25" s="4"/>
      <c r="D25" s="4"/>
      <c r="E25" s="4">
        <f t="shared" si="0"/>
        <v>0</v>
      </c>
      <c r="F25" s="4"/>
      <c r="G25" s="4"/>
      <c r="H25" s="4">
        <f t="shared" si="1"/>
        <v>0</v>
      </c>
      <c r="I25" s="4">
        <f t="shared" si="2"/>
        <v>0</v>
      </c>
    </row>
    <row r="26" spans="1:9" x14ac:dyDescent="0.2">
      <c r="A26" s="2" t="s">
        <v>79</v>
      </c>
      <c r="B26" s="4"/>
      <c r="C26" s="4">
        <f>300</f>
        <v>300</v>
      </c>
      <c r="D26" s="4"/>
      <c r="E26" s="4">
        <f t="shared" si="0"/>
        <v>300</v>
      </c>
      <c r="F26" s="4"/>
      <c r="G26" s="4"/>
      <c r="H26" s="4">
        <f t="shared" si="1"/>
        <v>0</v>
      </c>
      <c r="I26" s="4">
        <f t="shared" si="2"/>
        <v>300</v>
      </c>
    </row>
    <row r="27" spans="1:9" x14ac:dyDescent="0.2">
      <c r="A27" s="2" t="s">
        <v>78</v>
      </c>
      <c r="B27" s="4"/>
      <c r="C27" s="4">
        <f>1800</f>
        <v>1800</v>
      </c>
      <c r="D27" s="4"/>
      <c r="E27" s="4">
        <f t="shared" si="0"/>
        <v>1800</v>
      </c>
      <c r="F27" s="4"/>
      <c r="G27" s="4"/>
      <c r="H27" s="4">
        <f t="shared" si="1"/>
        <v>0</v>
      </c>
      <c r="I27" s="4">
        <f t="shared" si="2"/>
        <v>1800</v>
      </c>
    </row>
    <row r="28" spans="1:9" hidden="1" x14ac:dyDescent="0.2">
      <c r="A28" s="2" t="s">
        <v>77</v>
      </c>
      <c r="B28" s="6">
        <f>((B25)+(B26))+(B27)</f>
        <v>0</v>
      </c>
      <c r="C28" s="6">
        <f>((C25)+(C26))+(C27)</f>
        <v>2100</v>
      </c>
      <c r="D28" s="6">
        <f>((D25)+(D26))+(D27)</f>
        <v>0</v>
      </c>
      <c r="E28" s="6">
        <f t="shared" si="0"/>
        <v>2100</v>
      </c>
      <c r="F28" s="6">
        <f>((F25)+(F26))+(F27)</f>
        <v>0</v>
      </c>
      <c r="G28" s="6">
        <f>((G25)+(G26))+(G27)</f>
        <v>0</v>
      </c>
      <c r="H28" s="6">
        <f t="shared" si="1"/>
        <v>0</v>
      </c>
      <c r="I28" s="6">
        <f t="shared" si="2"/>
        <v>2100</v>
      </c>
    </row>
    <row r="29" spans="1:9" x14ac:dyDescent="0.2">
      <c r="A29" s="2" t="s">
        <v>76</v>
      </c>
      <c r="B29" s="6">
        <f>(((((B11)+(B12))+(B16))+(B17))+(B24))+(B28)</f>
        <v>0</v>
      </c>
      <c r="C29" s="6">
        <f>(((((C11)+(C12))+(C16))+(C17))+(C24))+(C28)</f>
        <v>45045</v>
      </c>
      <c r="D29" s="6">
        <f>(((((D11)+(D12))+(D16))+(D17))+(D24))+(D28)</f>
        <v>4800</v>
      </c>
      <c r="E29" s="6">
        <f t="shared" si="0"/>
        <v>49845</v>
      </c>
      <c r="F29" s="6">
        <f>(((((F11)+(F12))+(F16))+(F17))+(F24))+(F28)</f>
        <v>0</v>
      </c>
      <c r="G29" s="6">
        <f>(((((G11)+(G12))+(G16))+(G17))+(G24))+(G28)</f>
        <v>0</v>
      </c>
      <c r="H29" s="6">
        <f t="shared" si="1"/>
        <v>0</v>
      </c>
      <c r="I29" s="6">
        <f t="shared" si="2"/>
        <v>49845</v>
      </c>
    </row>
    <row r="30" spans="1:9" x14ac:dyDescent="0.2">
      <c r="A30" s="2"/>
      <c r="B30" s="8"/>
      <c r="C30" s="8"/>
      <c r="D30" s="8"/>
      <c r="E30" s="8"/>
      <c r="F30" s="8"/>
      <c r="G30" s="8"/>
      <c r="H30" s="8"/>
      <c r="I30" s="8"/>
    </row>
    <row r="31" spans="1:9" x14ac:dyDescent="0.2">
      <c r="A31" s="2" t="s">
        <v>75</v>
      </c>
      <c r="B31" s="4"/>
      <c r="C31" s="4"/>
      <c r="D31" s="4"/>
      <c r="E31" s="4">
        <f>((B31)+(C31))+(D31)</f>
        <v>0</v>
      </c>
      <c r="F31" s="4"/>
      <c r="G31" s="4"/>
      <c r="H31" s="4">
        <f>(F31)+(G31)</f>
        <v>0</v>
      </c>
      <c r="I31" s="4">
        <f>(E31)+(H31)</f>
        <v>0</v>
      </c>
    </row>
    <row r="32" spans="1:9" x14ac:dyDescent="0.2">
      <c r="A32" s="2" t="s">
        <v>74</v>
      </c>
      <c r="B32" s="4"/>
      <c r="C32" s="4"/>
      <c r="D32" s="4">
        <f>50</f>
        <v>50</v>
      </c>
      <c r="E32" s="4">
        <f>((B32)+(C32))+(D32)</f>
        <v>50</v>
      </c>
      <c r="F32" s="4"/>
      <c r="G32" s="4"/>
      <c r="H32" s="4">
        <f>(F32)+(G32)</f>
        <v>0</v>
      </c>
      <c r="I32" s="4">
        <f>(E32)+(H32)</f>
        <v>50</v>
      </c>
    </row>
    <row r="33" spans="1:9" x14ac:dyDescent="0.2">
      <c r="A33" s="2" t="s">
        <v>73</v>
      </c>
      <c r="B33" s="6">
        <f>(B31)+(B32)</f>
        <v>0</v>
      </c>
      <c r="C33" s="6">
        <f>(C31)+(C32)</f>
        <v>0</v>
      </c>
      <c r="D33" s="6">
        <f>(D31)+(D32)</f>
        <v>50</v>
      </c>
      <c r="E33" s="6">
        <f>((B33)+(C33))+(D33)</f>
        <v>50</v>
      </c>
      <c r="F33" s="6">
        <f>(F31)+(F32)</f>
        <v>0</v>
      </c>
      <c r="G33" s="6">
        <f>(G31)+(G32)</f>
        <v>0</v>
      </c>
      <c r="H33" s="6">
        <f>(F33)+(G33)</f>
        <v>0</v>
      </c>
      <c r="I33" s="6">
        <f>(E33)+(H33)</f>
        <v>50</v>
      </c>
    </row>
    <row r="34" spans="1:9" x14ac:dyDescent="0.2">
      <c r="A34" s="2"/>
      <c r="B34" s="8"/>
      <c r="C34" s="8"/>
      <c r="D34" s="8"/>
      <c r="E34" s="8"/>
      <c r="F34" s="8"/>
      <c r="G34" s="8"/>
      <c r="H34" s="8"/>
      <c r="I34" s="8"/>
    </row>
    <row r="35" spans="1:9" x14ac:dyDescent="0.2">
      <c r="A35" s="2" t="s">
        <v>72</v>
      </c>
      <c r="B35" s="6">
        <f>((B9)+(B29))+(B33)</f>
        <v>0</v>
      </c>
      <c r="C35" s="6">
        <f>((C9)+(C29))+(C33)</f>
        <v>45055</v>
      </c>
      <c r="D35" s="6">
        <f>((D9)+(D29))+(D33)</f>
        <v>4850</v>
      </c>
      <c r="E35" s="6">
        <f>((B35)+(C35))+(D35)</f>
        <v>49905</v>
      </c>
      <c r="F35" s="6">
        <f>((F9)+(F29))+(F33)</f>
        <v>0</v>
      </c>
      <c r="G35" s="6">
        <f>((G9)+(G29))+(G33)</f>
        <v>0</v>
      </c>
      <c r="H35" s="6">
        <f>(F35)+(G35)</f>
        <v>0</v>
      </c>
      <c r="I35" s="6">
        <f>(E35)+(H35)</f>
        <v>49905</v>
      </c>
    </row>
    <row r="36" spans="1:9" hidden="1" x14ac:dyDescent="0.2">
      <c r="A36" s="2" t="s">
        <v>71</v>
      </c>
      <c r="B36" s="6">
        <f>(B35)-(0)</f>
        <v>0</v>
      </c>
      <c r="C36" s="6">
        <f>(C35)-(0)</f>
        <v>45055</v>
      </c>
      <c r="D36" s="6">
        <f>(D35)-(0)</f>
        <v>4850</v>
      </c>
      <c r="E36" s="6">
        <f>((B36)+(C36))+(D36)</f>
        <v>49905</v>
      </c>
      <c r="F36" s="6">
        <f>(F35)-(0)</f>
        <v>0</v>
      </c>
      <c r="G36" s="6">
        <f>(G35)-(0)</f>
        <v>0</v>
      </c>
      <c r="H36" s="6">
        <f>(F36)+(G36)</f>
        <v>0</v>
      </c>
      <c r="I36" s="6">
        <f>(E36)+(H36)</f>
        <v>49905</v>
      </c>
    </row>
    <row r="37" spans="1:9" x14ac:dyDescent="0.2">
      <c r="A37" s="2"/>
      <c r="B37" s="8"/>
      <c r="C37" s="8"/>
      <c r="D37" s="8"/>
      <c r="E37" s="8"/>
      <c r="F37" s="8"/>
      <c r="G37" s="8"/>
      <c r="H37" s="8"/>
      <c r="I37" s="8"/>
    </row>
    <row r="38" spans="1:9" x14ac:dyDescent="0.2">
      <c r="A38" s="2" t="s">
        <v>70</v>
      </c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2" t="s">
        <v>69</v>
      </c>
      <c r="B39" s="4"/>
      <c r="C39" s="4"/>
      <c r="D39" s="4"/>
      <c r="E39" s="4">
        <f t="shared" ref="E39:E45" si="3">((B39)+(C39))+(D39)</f>
        <v>0</v>
      </c>
      <c r="F39" s="4"/>
      <c r="G39" s="4"/>
      <c r="H39" s="4">
        <f t="shared" ref="H39:H45" si="4">(F39)+(G39)</f>
        <v>0</v>
      </c>
      <c r="I39" s="4">
        <f t="shared" ref="I39:I45" si="5">(E39)+(H39)</f>
        <v>0</v>
      </c>
    </row>
    <row r="40" spans="1:9" x14ac:dyDescent="0.2">
      <c r="A40" s="2" t="s">
        <v>68</v>
      </c>
      <c r="B40" s="4"/>
      <c r="C40" s="4">
        <f>600</f>
        <v>600</v>
      </c>
      <c r="D40" s="4"/>
      <c r="E40" s="4">
        <f t="shared" si="3"/>
        <v>600</v>
      </c>
      <c r="F40" s="4"/>
      <c r="G40" s="4"/>
      <c r="H40" s="4">
        <f t="shared" si="4"/>
        <v>0</v>
      </c>
      <c r="I40" s="4">
        <f t="shared" si="5"/>
        <v>600</v>
      </c>
    </row>
    <row r="41" spans="1:9" x14ac:dyDescent="0.2">
      <c r="A41" s="2" t="s">
        <v>67</v>
      </c>
      <c r="B41" s="4"/>
      <c r="C41" s="4">
        <f>7626</f>
        <v>7626</v>
      </c>
      <c r="D41" s="4"/>
      <c r="E41" s="4">
        <f t="shared" si="3"/>
        <v>7626</v>
      </c>
      <c r="F41" s="4"/>
      <c r="G41" s="4"/>
      <c r="H41" s="4">
        <f t="shared" si="4"/>
        <v>0</v>
      </c>
      <c r="I41" s="4">
        <f t="shared" si="5"/>
        <v>7626</v>
      </c>
    </row>
    <row r="42" spans="1:9" x14ac:dyDescent="0.2">
      <c r="A42" s="2" t="s">
        <v>66</v>
      </c>
      <c r="B42" s="4"/>
      <c r="C42" s="4">
        <f>2048</f>
        <v>2048</v>
      </c>
      <c r="D42" s="4"/>
      <c r="E42" s="4">
        <f t="shared" si="3"/>
        <v>2048</v>
      </c>
      <c r="F42" s="4"/>
      <c r="G42" s="4"/>
      <c r="H42" s="4">
        <f t="shared" si="4"/>
        <v>0</v>
      </c>
      <c r="I42" s="4">
        <f t="shared" si="5"/>
        <v>2048</v>
      </c>
    </row>
    <row r="43" spans="1:9" x14ac:dyDescent="0.2">
      <c r="A43" s="2" t="s">
        <v>65</v>
      </c>
      <c r="B43" s="4"/>
      <c r="C43" s="4">
        <f>2736</f>
        <v>2736</v>
      </c>
      <c r="D43" s="4"/>
      <c r="E43" s="4">
        <f t="shared" si="3"/>
        <v>2736</v>
      </c>
      <c r="F43" s="4"/>
      <c r="G43" s="4"/>
      <c r="H43" s="4">
        <f t="shared" si="4"/>
        <v>0</v>
      </c>
      <c r="I43" s="4">
        <f t="shared" si="5"/>
        <v>2736</v>
      </c>
    </row>
    <row r="44" spans="1:9" x14ac:dyDescent="0.2">
      <c r="A44" s="2" t="s">
        <v>64</v>
      </c>
      <c r="B44" s="4"/>
      <c r="C44" s="4"/>
      <c r="D44" s="4"/>
      <c r="E44" s="4">
        <f t="shared" si="3"/>
        <v>0</v>
      </c>
      <c r="F44" s="4"/>
      <c r="G44" s="4">
        <f>2370</f>
        <v>2370</v>
      </c>
      <c r="H44" s="4">
        <f t="shared" si="4"/>
        <v>2370</v>
      </c>
      <c r="I44" s="4">
        <f t="shared" si="5"/>
        <v>2370</v>
      </c>
    </row>
    <row r="45" spans="1:9" x14ac:dyDescent="0.2">
      <c r="A45" s="2" t="s">
        <v>63</v>
      </c>
      <c r="B45" s="6">
        <f>(((((B39)+(B40))+(B41))+(B42))+(B43))+(B44)</f>
        <v>0</v>
      </c>
      <c r="C45" s="6">
        <f>(((((C39)+(C40))+(C41))+(C42))+(C43))+(C44)</f>
        <v>13010</v>
      </c>
      <c r="D45" s="6">
        <f>(((((D39)+(D40))+(D41))+(D42))+(D43))+(D44)</f>
        <v>0</v>
      </c>
      <c r="E45" s="6">
        <f t="shared" si="3"/>
        <v>13010</v>
      </c>
      <c r="F45" s="6">
        <f>(((((F39)+(F40))+(F41))+(F42))+(F43))+(F44)</f>
        <v>0</v>
      </c>
      <c r="G45" s="6">
        <f>(((((G39)+(G40))+(G41))+(G42))+(G43))+(G44)</f>
        <v>2370</v>
      </c>
      <c r="H45" s="6">
        <f t="shared" si="4"/>
        <v>2370</v>
      </c>
      <c r="I45" s="6">
        <f t="shared" si="5"/>
        <v>15380</v>
      </c>
    </row>
    <row r="46" spans="1:9" x14ac:dyDescent="0.2">
      <c r="A46" s="2"/>
      <c r="B46" s="8"/>
      <c r="C46" s="8"/>
      <c r="D46" s="8"/>
      <c r="E46" s="8"/>
      <c r="F46" s="8"/>
      <c r="G46" s="8"/>
      <c r="H46" s="8"/>
      <c r="I46" s="8"/>
    </row>
    <row r="47" spans="1:9" x14ac:dyDescent="0.2">
      <c r="A47" s="2" t="s">
        <v>62</v>
      </c>
      <c r="B47" s="4"/>
      <c r="C47" s="4"/>
      <c r="D47" s="4"/>
      <c r="E47" s="4">
        <f t="shared" ref="E47:E52" si="6">((B47)+(C47))+(D47)</f>
        <v>0</v>
      </c>
      <c r="F47" s="4"/>
      <c r="G47" s="4"/>
      <c r="H47" s="4">
        <f t="shared" ref="H47:H52" si="7">(F47)+(G47)</f>
        <v>0</v>
      </c>
      <c r="I47" s="4">
        <f t="shared" ref="I47:I52" si="8">(E47)+(H47)</f>
        <v>0</v>
      </c>
    </row>
    <row r="48" spans="1:9" x14ac:dyDescent="0.2">
      <c r="A48" s="2" t="s">
        <v>61</v>
      </c>
      <c r="B48" s="4"/>
      <c r="C48" s="4"/>
      <c r="D48" s="4"/>
      <c r="E48" s="4">
        <f t="shared" si="6"/>
        <v>0</v>
      </c>
      <c r="F48" s="4"/>
      <c r="G48" s="4">
        <f>541.72</f>
        <v>541.72</v>
      </c>
      <c r="H48" s="4">
        <f t="shared" si="7"/>
        <v>541.72</v>
      </c>
      <c r="I48" s="4">
        <f t="shared" si="8"/>
        <v>541.72</v>
      </c>
    </row>
    <row r="49" spans="1:9" x14ac:dyDescent="0.2">
      <c r="A49" s="2" t="s">
        <v>60</v>
      </c>
      <c r="B49" s="4"/>
      <c r="C49" s="4"/>
      <c r="D49" s="4"/>
      <c r="E49" s="4">
        <f t="shared" si="6"/>
        <v>0</v>
      </c>
      <c r="F49" s="4"/>
      <c r="G49" s="4">
        <f>496.06</f>
        <v>496.06</v>
      </c>
      <c r="H49" s="4">
        <f t="shared" si="7"/>
        <v>496.06</v>
      </c>
      <c r="I49" s="4">
        <f t="shared" si="8"/>
        <v>496.06</v>
      </c>
    </row>
    <row r="50" spans="1:9" x14ac:dyDescent="0.2">
      <c r="A50" s="2" t="s">
        <v>59</v>
      </c>
      <c r="B50" s="4"/>
      <c r="C50" s="4"/>
      <c r="D50" s="4"/>
      <c r="E50" s="4">
        <f t="shared" si="6"/>
        <v>0</v>
      </c>
      <c r="F50" s="4"/>
      <c r="G50" s="4">
        <f>815.8</f>
        <v>815.8</v>
      </c>
      <c r="H50" s="4">
        <f t="shared" si="7"/>
        <v>815.8</v>
      </c>
      <c r="I50" s="4">
        <f t="shared" si="8"/>
        <v>815.8</v>
      </c>
    </row>
    <row r="51" spans="1:9" x14ac:dyDescent="0.2">
      <c r="A51" s="2" t="s">
        <v>58</v>
      </c>
      <c r="B51" s="4"/>
      <c r="C51" s="4"/>
      <c r="D51" s="4"/>
      <c r="E51" s="4">
        <f t="shared" si="6"/>
        <v>0</v>
      </c>
      <c r="F51" s="4"/>
      <c r="G51" s="4">
        <f>2250.11</f>
        <v>2250.11</v>
      </c>
      <c r="H51" s="4">
        <f t="shared" si="7"/>
        <v>2250.11</v>
      </c>
      <c r="I51" s="4">
        <f t="shared" si="8"/>
        <v>2250.11</v>
      </c>
    </row>
    <row r="52" spans="1:9" x14ac:dyDescent="0.2">
      <c r="A52" s="2" t="s">
        <v>57</v>
      </c>
      <c r="B52" s="6">
        <f>((((B47)+(B48))+(B49))+(B50))+(B51)</f>
        <v>0</v>
      </c>
      <c r="C52" s="6">
        <f>((((C47)+(C48))+(C49))+(C50))+(C51)</f>
        <v>0</v>
      </c>
      <c r="D52" s="6">
        <f>((((D47)+(D48))+(D49))+(D50))+(D51)</f>
        <v>0</v>
      </c>
      <c r="E52" s="6">
        <f t="shared" si="6"/>
        <v>0</v>
      </c>
      <c r="F52" s="6">
        <f>((((F47)+(F48))+(F49))+(F50))+(F51)</f>
        <v>0</v>
      </c>
      <c r="G52" s="6">
        <f>((((G47)+(G48))+(G49))+(G50))+(G51)</f>
        <v>4103.6900000000005</v>
      </c>
      <c r="H52" s="6">
        <f t="shared" si="7"/>
        <v>4103.6900000000005</v>
      </c>
      <c r="I52" s="6">
        <f t="shared" si="8"/>
        <v>4103.6900000000005</v>
      </c>
    </row>
    <row r="53" spans="1:9" x14ac:dyDescent="0.2">
      <c r="A53" s="2"/>
      <c r="B53" s="8"/>
      <c r="C53" s="8"/>
      <c r="D53" s="8"/>
      <c r="E53" s="8"/>
      <c r="F53" s="8"/>
      <c r="G53" s="8"/>
      <c r="H53" s="8"/>
      <c r="I53" s="8"/>
    </row>
    <row r="54" spans="1:9" x14ac:dyDescent="0.2">
      <c r="A54" s="2" t="s">
        <v>56</v>
      </c>
      <c r="B54" s="4"/>
      <c r="C54" s="4"/>
      <c r="D54" s="4"/>
      <c r="E54" s="4">
        <f>((B54)+(C54))+(D54)</f>
        <v>0</v>
      </c>
      <c r="F54" s="4"/>
      <c r="G54" s="4"/>
      <c r="H54" s="4">
        <f>(F54)+(G54)</f>
        <v>0</v>
      </c>
      <c r="I54" s="4">
        <f>(E54)+(H54)</f>
        <v>0</v>
      </c>
    </row>
    <row r="55" spans="1:9" x14ac:dyDescent="0.2">
      <c r="A55" s="2" t="s">
        <v>55</v>
      </c>
      <c r="B55" s="4"/>
      <c r="C55" s="4"/>
      <c r="D55" s="4">
        <f>31.35</f>
        <v>31.35</v>
      </c>
      <c r="E55" s="4">
        <f>((B55)+(C55))+(D55)</f>
        <v>31.35</v>
      </c>
      <c r="F55" s="4"/>
      <c r="G55" s="4"/>
      <c r="H55" s="4">
        <f>(F55)+(G55)</f>
        <v>0</v>
      </c>
      <c r="I55" s="4">
        <f>(E55)+(H55)</f>
        <v>31.35</v>
      </c>
    </row>
    <row r="56" spans="1:9" x14ac:dyDescent="0.2">
      <c r="A56" s="2" t="s">
        <v>54</v>
      </c>
      <c r="B56" s="4"/>
      <c r="C56" s="4">
        <f>14</f>
        <v>14</v>
      </c>
      <c r="D56" s="4"/>
      <c r="E56" s="4">
        <f>((B56)+(C56))+(D56)</f>
        <v>14</v>
      </c>
      <c r="F56" s="4"/>
      <c r="G56" s="4">
        <f>30</f>
        <v>30</v>
      </c>
      <c r="H56" s="4">
        <f>(F56)+(G56)</f>
        <v>30</v>
      </c>
      <c r="I56" s="4">
        <f>(E56)+(H56)</f>
        <v>44</v>
      </c>
    </row>
    <row r="57" spans="1:9" x14ac:dyDescent="0.2">
      <c r="A57" s="2" t="s">
        <v>53</v>
      </c>
      <c r="B57" s="6">
        <f>((B54)+(B55))+(B56)</f>
        <v>0</v>
      </c>
      <c r="C57" s="6">
        <f>((C54)+(C55))+(C56)</f>
        <v>14</v>
      </c>
      <c r="D57" s="6">
        <f>((D54)+(D55))+(D56)</f>
        <v>31.35</v>
      </c>
      <c r="E57" s="6">
        <f>((B57)+(C57))+(D57)</f>
        <v>45.35</v>
      </c>
      <c r="F57" s="6">
        <f>((F54)+(F55))+(F56)</f>
        <v>0</v>
      </c>
      <c r="G57" s="6">
        <f>((G54)+(G55))+(G56)</f>
        <v>30</v>
      </c>
      <c r="H57" s="6">
        <f>(F57)+(G57)</f>
        <v>30</v>
      </c>
      <c r="I57" s="6">
        <f>(E57)+(H57)</f>
        <v>75.349999999999994</v>
      </c>
    </row>
    <row r="58" spans="1:9" x14ac:dyDescent="0.2">
      <c r="A58" s="2"/>
      <c r="B58" s="8"/>
      <c r="C58" s="8"/>
      <c r="D58" s="8"/>
      <c r="E58" s="8"/>
      <c r="F58" s="8"/>
      <c r="G58" s="8"/>
      <c r="H58" s="8"/>
      <c r="I58" s="8"/>
    </row>
    <row r="59" spans="1:9" x14ac:dyDescent="0.2">
      <c r="A59" s="2" t="s">
        <v>52</v>
      </c>
      <c r="B59" s="4"/>
      <c r="C59" s="4"/>
      <c r="D59" s="4"/>
      <c r="E59" s="4">
        <f>((B59)+(C59))+(D59)</f>
        <v>0</v>
      </c>
      <c r="F59" s="4"/>
      <c r="G59" s="4"/>
      <c r="H59" s="4">
        <f>(F59)+(G59)</f>
        <v>0</v>
      </c>
      <c r="I59" s="4">
        <f>(E59)+(H59)</f>
        <v>0</v>
      </c>
    </row>
    <row r="60" spans="1:9" x14ac:dyDescent="0.2">
      <c r="A60" s="2" t="s">
        <v>51</v>
      </c>
      <c r="B60" s="4"/>
      <c r="C60" s="4"/>
      <c r="D60" s="4"/>
      <c r="E60" s="4">
        <f>((B60)+(C60))+(D60)</f>
        <v>0</v>
      </c>
      <c r="F60" s="4"/>
      <c r="G60" s="4"/>
      <c r="H60" s="4">
        <f>(F60)+(G60)</f>
        <v>0</v>
      </c>
      <c r="I60" s="4">
        <f>(E60)+(H60)</f>
        <v>0</v>
      </c>
    </row>
    <row r="61" spans="1:9" x14ac:dyDescent="0.2">
      <c r="A61" s="2" t="s">
        <v>50</v>
      </c>
      <c r="B61" s="4"/>
      <c r="C61" s="4"/>
      <c r="D61" s="4"/>
      <c r="E61" s="4">
        <f>((B61)+(C61))+(D61)</f>
        <v>0</v>
      </c>
      <c r="F61" s="4"/>
      <c r="G61" s="4">
        <f>2129</f>
        <v>2129</v>
      </c>
      <c r="H61" s="4">
        <f>(F61)+(G61)</f>
        <v>2129</v>
      </c>
      <c r="I61" s="4">
        <f>(E61)+(H61)</f>
        <v>2129</v>
      </c>
    </row>
    <row r="62" spans="1:9" x14ac:dyDescent="0.2">
      <c r="A62" s="2" t="s">
        <v>49</v>
      </c>
      <c r="B62" s="6">
        <f>(B60)+(B61)</f>
        <v>0</v>
      </c>
      <c r="C62" s="6">
        <f>(C60)+(C61)</f>
        <v>0</v>
      </c>
      <c r="D62" s="6">
        <f>(D60)+(D61)</f>
        <v>0</v>
      </c>
      <c r="E62" s="6">
        <f>((B62)+(C62))+(D62)</f>
        <v>0</v>
      </c>
      <c r="F62" s="6">
        <f>(F60)+(F61)</f>
        <v>0</v>
      </c>
      <c r="G62" s="6">
        <f>(G60)+(G61)</f>
        <v>2129</v>
      </c>
      <c r="H62" s="6">
        <f>(F62)+(G62)</f>
        <v>2129</v>
      </c>
      <c r="I62" s="6">
        <f>(E62)+(H62)</f>
        <v>2129</v>
      </c>
    </row>
    <row r="63" spans="1:9" x14ac:dyDescent="0.2">
      <c r="A63" s="2"/>
      <c r="B63" s="8"/>
      <c r="C63" s="8"/>
      <c r="D63" s="8"/>
      <c r="E63" s="8"/>
      <c r="F63" s="8"/>
      <c r="G63" s="8"/>
      <c r="H63" s="8"/>
      <c r="I63" s="8"/>
    </row>
    <row r="64" spans="1:9" x14ac:dyDescent="0.2">
      <c r="A64" s="2" t="s">
        <v>48</v>
      </c>
      <c r="B64" s="4"/>
      <c r="C64" s="4"/>
      <c r="D64" s="4"/>
      <c r="E64" s="4">
        <f>((B64)+(C64))+(D64)</f>
        <v>0</v>
      </c>
      <c r="F64" s="4"/>
      <c r="G64" s="4">
        <f>61.25</f>
        <v>61.25</v>
      </c>
      <c r="H64" s="4">
        <f>(F64)+(G64)</f>
        <v>61.25</v>
      </c>
      <c r="I64" s="4">
        <f>(E64)+(H64)</f>
        <v>61.25</v>
      </c>
    </row>
    <row r="65" spans="1:9" x14ac:dyDescent="0.2">
      <c r="A65" s="2" t="s">
        <v>47</v>
      </c>
      <c r="B65" s="4"/>
      <c r="C65" s="4"/>
      <c r="D65" s="4"/>
      <c r="E65" s="4">
        <f>((B65)+(C65))+(D65)</f>
        <v>0</v>
      </c>
      <c r="F65" s="4"/>
      <c r="G65" s="4">
        <f>2238.41</f>
        <v>2238.41</v>
      </c>
      <c r="H65" s="4">
        <f>(F65)+(G65)</f>
        <v>2238.41</v>
      </c>
      <c r="I65" s="4">
        <f>(E65)+(H65)</f>
        <v>2238.41</v>
      </c>
    </row>
    <row r="66" spans="1:9" x14ac:dyDescent="0.2">
      <c r="A66" s="2" t="s">
        <v>46</v>
      </c>
      <c r="B66" s="4"/>
      <c r="C66" s="4"/>
      <c r="D66" s="4"/>
      <c r="E66" s="4">
        <f>((B66)+(C66))+(D66)</f>
        <v>0</v>
      </c>
      <c r="F66" s="4"/>
      <c r="G66" s="4">
        <f>405</f>
        <v>405</v>
      </c>
      <c r="H66" s="4">
        <f>(F66)+(G66)</f>
        <v>405</v>
      </c>
      <c r="I66" s="4">
        <f>(E66)+(H66)</f>
        <v>405</v>
      </c>
    </row>
    <row r="67" spans="1:9" x14ac:dyDescent="0.2">
      <c r="A67" s="2" t="s">
        <v>45</v>
      </c>
      <c r="B67" s="6">
        <f>((((B59)+(B62))+(B64))+(B65))+(B66)</f>
        <v>0</v>
      </c>
      <c r="C67" s="6">
        <f>((((C59)+(C62))+(C64))+(C65))+(C66)</f>
        <v>0</v>
      </c>
      <c r="D67" s="6">
        <f>((((D59)+(D62))+(D64))+(D65))+(D66)</f>
        <v>0</v>
      </c>
      <c r="E67" s="6">
        <f>((B67)+(C67))+(D67)</f>
        <v>0</v>
      </c>
      <c r="F67" s="6">
        <f>((((F59)+(F62))+(F64))+(F65))+(F66)</f>
        <v>0</v>
      </c>
      <c r="G67" s="6">
        <f>((((G59)+(G62))+(G64))+(G65))+(G66)</f>
        <v>4833.66</v>
      </c>
      <c r="H67" s="6">
        <f>(F67)+(G67)</f>
        <v>4833.66</v>
      </c>
      <c r="I67" s="6">
        <f>(E67)+(H67)</f>
        <v>4833.66</v>
      </c>
    </row>
    <row r="68" spans="1:9" x14ac:dyDescent="0.2">
      <c r="A68" s="2"/>
      <c r="B68" s="8"/>
      <c r="C68" s="8"/>
      <c r="D68" s="8"/>
      <c r="E68" s="8"/>
      <c r="F68" s="8"/>
      <c r="G68" s="8"/>
      <c r="H68" s="8"/>
      <c r="I68" s="8"/>
    </row>
    <row r="69" spans="1:9" x14ac:dyDescent="0.2">
      <c r="A69" s="2" t="s">
        <v>44</v>
      </c>
      <c r="B69" s="6">
        <f>(((B45)+(B52))+(B57))+(B67)</f>
        <v>0</v>
      </c>
      <c r="C69" s="6">
        <f>(((C45)+(C52))+(C57))+(C67)</f>
        <v>13024</v>
      </c>
      <c r="D69" s="6">
        <f>(((D45)+(D52))+(D57))+(D67)</f>
        <v>31.35</v>
      </c>
      <c r="E69" s="6">
        <f>((B69)+(C69))+(D69)</f>
        <v>13055.35</v>
      </c>
      <c r="F69" s="6">
        <f>(((F45)+(F52))+(F57))+(F67)</f>
        <v>0</v>
      </c>
      <c r="G69" s="6">
        <f>(((G45)+(G52))+(G57))+(G67)</f>
        <v>11337.35</v>
      </c>
      <c r="H69" s="6">
        <f>(F69)+(G69)</f>
        <v>11337.35</v>
      </c>
      <c r="I69" s="6">
        <f>(E69)+(H69)</f>
        <v>24392.7</v>
      </c>
    </row>
    <row r="70" spans="1:9" hidden="1" x14ac:dyDescent="0.2">
      <c r="A70" s="2" t="s">
        <v>43</v>
      </c>
      <c r="B70" s="6">
        <f>(B36)-(B69)</f>
        <v>0</v>
      </c>
      <c r="C70" s="6">
        <f>(C36)-(C69)</f>
        <v>32031</v>
      </c>
      <c r="D70" s="6">
        <f>(D36)-(D69)</f>
        <v>4818.6499999999996</v>
      </c>
      <c r="E70" s="6">
        <f>((B70)+(C70))+(D70)</f>
        <v>36849.65</v>
      </c>
      <c r="F70" s="6">
        <f>(F36)-(F69)</f>
        <v>0</v>
      </c>
      <c r="G70" s="6">
        <f>(G36)-(G69)</f>
        <v>-11337.35</v>
      </c>
      <c r="H70" s="6">
        <f>(F70)+(G70)</f>
        <v>-11337.35</v>
      </c>
      <c r="I70" s="6">
        <f>(E70)+(H70)</f>
        <v>25512.300000000003</v>
      </c>
    </row>
    <row r="71" spans="1:9" x14ac:dyDescent="0.2">
      <c r="A71" s="2"/>
      <c r="B71" s="8"/>
      <c r="C71" s="8"/>
      <c r="D71" s="8"/>
      <c r="E71" s="8"/>
      <c r="F71" s="8"/>
      <c r="G71" s="8"/>
      <c r="H71" s="8"/>
      <c r="I71" s="8"/>
    </row>
    <row r="72" spans="1:9" x14ac:dyDescent="0.2">
      <c r="A72" s="2" t="s">
        <v>42</v>
      </c>
      <c r="B72" s="4"/>
      <c r="C72" s="4"/>
      <c r="D72" s="4"/>
      <c r="E72" s="4"/>
      <c r="F72" s="4"/>
      <c r="G72" s="4"/>
      <c r="H72" s="4"/>
      <c r="I72" s="4"/>
    </row>
    <row r="73" spans="1:9" x14ac:dyDescent="0.2">
      <c r="A73" s="2" t="s">
        <v>41</v>
      </c>
      <c r="B73" s="4"/>
      <c r="C73" s="4"/>
      <c r="D73" s="4"/>
      <c r="E73" s="4">
        <f>((B73)+(C73))+(D73)</f>
        <v>0</v>
      </c>
      <c r="F73" s="4"/>
      <c r="G73" s="4"/>
      <c r="H73" s="4">
        <f>(F73)+(G73)</f>
        <v>0</v>
      </c>
      <c r="I73" s="4">
        <f>(E73)+(H73)</f>
        <v>0</v>
      </c>
    </row>
    <row r="74" spans="1:9" x14ac:dyDescent="0.2">
      <c r="A74" s="2" t="s">
        <v>40</v>
      </c>
      <c r="B74" s="4"/>
      <c r="C74" s="4"/>
      <c r="D74" s="4"/>
      <c r="E74" s="4">
        <f>((B74)+(C74))+(D74)</f>
        <v>0</v>
      </c>
      <c r="F74" s="4"/>
      <c r="G74" s="4">
        <f>22.32</f>
        <v>22.32</v>
      </c>
      <c r="H74" s="4">
        <f>(F74)+(G74)</f>
        <v>22.32</v>
      </c>
      <c r="I74" s="4">
        <f>(E74)+(H74)</f>
        <v>22.32</v>
      </c>
    </row>
    <row r="75" spans="1:9" hidden="1" x14ac:dyDescent="0.2">
      <c r="A75" s="2" t="s">
        <v>39</v>
      </c>
      <c r="B75" s="6">
        <f>(B73)+(B74)</f>
        <v>0</v>
      </c>
      <c r="C75" s="6">
        <f>(C73)+(C74)</f>
        <v>0</v>
      </c>
      <c r="D75" s="6">
        <f>(D73)+(D74)</f>
        <v>0</v>
      </c>
      <c r="E75" s="6">
        <f>((B75)+(C75))+(D75)</f>
        <v>0</v>
      </c>
      <c r="F75" s="6">
        <f>(F73)+(F74)</f>
        <v>0</v>
      </c>
      <c r="G75" s="6">
        <f>(G73)+(G74)</f>
        <v>22.32</v>
      </c>
      <c r="H75" s="6">
        <f>(F75)+(G75)</f>
        <v>22.32</v>
      </c>
      <c r="I75" s="6">
        <f>(E75)+(H75)</f>
        <v>22.32</v>
      </c>
    </row>
    <row r="76" spans="1:9" hidden="1" x14ac:dyDescent="0.2">
      <c r="A76" s="2" t="s">
        <v>38</v>
      </c>
      <c r="B76" s="6">
        <f>B75</f>
        <v>0</v>
      </c>
      <c r="C76" s="6">
        <f>C75</f>
        <v>0</v>
      </c>
      <c r="D76" s="6">
        <f>D75</f>
        <v>0</v>
      </c>
      <c r="E76" s="6">
        <f>((B76)+(C76))+(D76)</f>
        <v>0</v>
      </c>
      <c r="F76" s="6">
        <f>F75</f>
        <v>0</v>
      </c>
      <c r="G76" s="6">
        <f>G75</f>
        <v>22.32</v>
      </c>
      <c r="H76" s="6">
        <f>(F76)+(G76)</f>
        <v>22.32</v>
      </c>
      <c r="I76" s="6">
        <f>(E76)+(H76)</f>
        <v>22.32</v>
      </c>
    </row>
    <row r="77" spans="1:9" x14ac:dyDescent="0.2">
      <c r="A77" s="2" t="s">
        <v>37</v>
      </c>
      <c r="B77" s="6">
        <f>(B76)-(0)</f>
        <v>0</v>
      </c>
      <c r="C77" s="6">
        <f>(C76)-(0)</f>
        <v>0</v>
      </c>
      <c r="D77" s="6">
        <f>(D76)-(0)</f>
        <v>0</v>
      </c>
      <c r="E77" s="6">
        <f>((B77)+(C77))+(D77)</f>
        <v>0</v>
      </c>
      <c r="F77" s="6">
        <f>(F76)-(0)</f>
        <v>0</v>
      </c>
      <c r="G77" s="6">
        <f>(G76)-(0)</f>
        <v>22.32</v>
      </c>
      <c r="H77" s="6">
        <f>(F77)+(G77)</f>
        <v>22.32</v>
      </c>
      <c r="I77" s="6">
        <f>(E77)+(H77)</f>
        <v>22.32</v>
      </c>
    </row>
    <row r="78" spans="1:9" x14ac:dyDescent="0.2">
      <c r="A78" s="2"/>
      <c r="B78" s="10"/>
      <c r="C78" s="8"/>
      <c r="D78" s="8"/>
      <c r="E78" s="8"/>
      <c r="F78" s="8"/>
      <c r="G78" s="8"/>
      <c r="H78" s="8"/>
      <c r="I78" s="8"/>
    </row>
    <row r="79" spans="1:9" ht="16" thickBot="1" x14ac:dyDescent="0.25">
      <c r="A79" s="2" t="s">
        <v>36</v>
      </c>
      <c r="B79" s="9">
        <f>(B70)+(B77)</f>
        <v>0</v>
      </c>
      <c r="C79" s="9">
        <f>(C70)+(C77)</f>
        <v>32031</v>
      </c>
      <c r="D79" s="9">
        <f>(D70)+(D77)</f>
        <v>4818.6499999999996</v>
      </c>
      <c r="E79" s="9">
        <f>((B79)+(C79))+(D79)</f>
        <v>36849.65</v>
      </c>
      <c r="F79" s="9">
        <f>(F70)+(F77)</f>
        <v>0</v>
      </c>
      <c r="G79" s="9">
        <f>(G70)+(G77)</f>
        <v>-11315.03</v>
      </c>
      <c r="H79" s="9">
        <f>(F79)+(G79)</f>
        <v>-11315.03</v>
      </c>
      <c r="I79" s="9">
        <f>(E79)+(H79)</f>
        <v>25534.620000000003</v>
      </c>
    </row>
    <row r="80" spans="1:9" ht="16" thickTop="1" x14ac:dyDescent="0.2">
      <c r="A80" s="2"/>
      <c r="B80" s="4"/>
      <c r="C80" s="4"/>
      <c r="D80" s="4"/>
      <c r="E80" s="4"/>
      <c r="F80" s="4"/>
      <c r="G80" s="4"/>
      <c r="H80" s="4"/>
      <c r="I80" s="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E8EF-1319-47CE-8873-71DC9C292BF4}">
  <sheetPr>
    <pageSetUpPr fitToPage="1"/>
  </sheetPr>
  <dimension ref="A1:D81"/>
  <sheetViews>
    <sheetView zoomScale="130" zoomScaleNormal="130" workbookViewId="0">
      <pane xSplit="1" ySplit="5" topLeftCell="B31" activePane="bottomRight" state="frozen"/>
      <selection pane="topRight" activeCell="B1" sqref="B1"/>
      <selection pane="bottomLeft" activeCell="A6" sqref="A6"/>
      <selection pane="bottomRight" sqref="A1:D1"/>
    </sheetView>
  </sheetViews>
  <sheetFormatPr baseColWidth="10" defaultColWidth="8.83203125" defaultRowHeight="15" x14ac:dyDescent="0.2"/>
  <cols>
    <col min="1" max="1" width="43" customWidth="1"/>
    <col min="2" max="4" width="15.83203125" style="7" customWidth="1"/>
  </cols>
  <sheetData>
    <row r="1" spans="1:4" ht="18" x14ac:dyDescent="0.2">
      <c r="A1" s="11" t="s">
        <v>33</v>
      </c>
      <c r="B1" s="12"/>
      <c r="C1" s="12"/>
      <c r="D1" s="12"/>
    </row>
    <row r="2" spans="1:4" ht="18" x14ac:dyDescent="0.2">
      <c r="A2" s="11" t="s">
        <v>113</v>
      </c>
      <c r="B2" s="12"/>
      <c r="C2" s="12"/>
      <c r="D2" s="12"/>
    </row>
    <row r="3" spans="1:4" x14ac:dyDescent="0.2">
      <c r="A3" s="13" t="s">
        <v>99</v>
      </c>
      <c r="B3" s="12"/>
      <c r="C3" s="12"/>
      <c r="D3" s="12"/>
    </row>
    <row r="5" spans="1:4" x14ac:dyDescent="0.2">
      <c r="A5" s="1"/>
      <c r="B5" s="3" t="s">
        <v>112</v>
      </c>
      <c r="C5" s="3" t="s">
        <v>111</v>
      </c>
      <c r="D5" s="3" t="s">
        <v>0</v>
      </c>
    </row>
    <row r="6" spans="1:4" x14ac:dyDescent="0.2">
      <c r="A6" s="2" t="s">
        <v>98</v>
      </c>
      <c r="B6" s="4"/>
      <c r="C6" s="4"/>
      <c r="D6" s="4"/>
    </row>
    <row r="7" spans="1:4" x14ac:dyDescent="0.2">
      <c r="A7" s="2" t="s">
        <v>97</v>
      </c>
      <c r="B7" s="4"/>
      <c r="C7" s="4"/>
      <c r="D7" s="4">
        <f>(B7)+(C7)</f>
        <v>0</v>
      </c>
    </row>
    <row r="8" spans="1:4" x14ac:dyDescent="0.2">
      <c r="A8" s="2" t="s">
        <v>96</v>
      </c>
      <c r="B8" s="4">
        <f>10</f>
        <v>10</v>
      </c>
      <c r="C8" s="4"/>
      <c r="D8" s="4">
        <f>(B8)+(C8)</f>
        <v>10</v>
      </c>
    </row>
    <row r="9" spans="1:4" x14ac:dyDescent="0.2">
      <c r="A9" s="2" t="s">
        <v>95</v>
      </c>
      <c r="B9" s="6">
        <f>(B7)+(B8)</f>
        <v>10</v>
      </c>
      <c r="C9" s="6">
        <f>(C7)+(C8)</f>
        <v>0</v>
      </c>
      <c r="D9" s="6">
        <f>(B9)+(C9)</f>
        <v>10</v>
      </c>
    </row>
    <row r="10" spans="1:4" x14ac:dyDescent="0.2">
      <c r="A10" s="2"/>
      <c r="B10" s="8"/>
      <c r="C10" s="8"/>
      <c r="D10" s="8"/>
    </row>
    <row r="11" spans="1:4" x14ac:dyDescent="0.2">
      <c r="A11" s="2" t="s">
        <v>94</v>
      </c>
      <c r="B11" s="4"/>
      <c r="C11" s="4"/>
      <c r="D11" s="4">
        <f t="shared" ref="D11:D30" si="0">(B11)+(C11)</f>
        <v>0</v>
      </c>
    </row>
    <row r="12" spans="1:4" x14ac:dyDescent="0.2">
      <c r="A12" s="2" t="s">
        <v>93</v>
      </c>
      <c r="B12" s="4">
        <f>4495</f>
        <v>4495</v>
      </c>
      <c r="C12" s="4">
        <f>2800</f>
        <v>2800</v>
      </c>
      <c r="D12" s="4">
        <f t="shared" si="0"/>
        <v>7295</v>
      </c>
    </row>
    <row r="13" spans="1:4" x14ac:dyDescent="0.2">
      <c r="A13" s="2" t="s">
        <v>92</v>
      </c>
      <c r="B13" s="4"/>
      <c r="C13" s="4"/>
      <c r="D13" s="4">
        <f t="shared" si="0"/>
        <v>0</v>
      </c>
    </row>
    <row r="14" spans="1:4" x14ac:dyDescent="0.2">
      <c r="A14" s="2" t="s">
        <v>91</v>
      </c>
      <c r="B14" s="4">
        <f>18000</f>
        <v>18000</v>
      </c>
      <c r="C14" s="4">
        <f>4580</f>
        <v>4580</v>
      </c>
      <c r="D14" s="4">
        <f t="shared" si="0"/>
        <v>22580</v>
      </c>
    </row>
    <row r="15" spans="1:4" x14ac:dyDescent="0.2">
      <c r="A15" s="2" t="s">
        <v>90</v>
      </c>
      <c r="B15" s="4">
        <f>1560</f>
        <v>1560</v>
      </c>
      <c r="C15" s="4">
        <f>325</f>
        <v>325</v>
      </c>
      <c r="D15" s="4">
        <f t="shared" si="0"/>
        <v>1885</v>
      </c>
    </row>
    <row r="16" spans="1:4" x14ac:dyDescent="0.2">
      <c r="A16" s="2" t="s">
        <v>110</v>
      </c>
      <c r="B16" s="4">
        <f>-50</f>
        <v>-50</v>
      </c>
      <c r="C16" s="4">
        <f>50</f>
        <v>50</v>
      </c>
      <c r="D16" s="4">
        <f t="shared" si="0"/>
        <v>0</v>
      </c>
    </row>
    <row r="17" spans="1:4" hidden="1" x14ac:dyDescent="0.2">
      <c r="A17" s="2" t="s">
        <v>89</v>
      </c>
      <c r="B17" s="6">
        <f>(((B13)+(B14))+(B15))+(B16)</f>
        <v>19510</v>
      </c>
      <c r="C17" s="6">
        <f>(((C13)+(C14))+(C15))+(C16)</f>
        <v>4955</v>
      </c>
      <c r="D17" s="6">
        <f t="shared" si="0"/>
        <v>24465</v>
      </c>
    </row>
    <row r="18" spans="1:4" x14ac:dyDescent="0.2">
      <c r="A18" s="2" t="s">
        <v>88</v>
      </c>
      <c r="B18" s="4">
        <f>1950</f>
        <v>1950</v>
      </c>
      <c r="C18" s="4">
        <f>2850</f>
        <v>2850</v>
      </c>
      <c r="D18" s="4">
        <f t="shared" si="0"/>
        <v>4800</v>
      </c>
    </row>
    <row r="19" spans="1:4" x14ac:dyDescent="0.2">
      <c r="A19" s="2" t="s">
        <v>87</v>
      </c>
      <c r="B19" s="4"/>
      <c r="C19" s="4"/>
      <c r="D19" s="4">
        <f t="shared" si="0"/>
        <v>0</v>
      </c>
    </row>
    <row r="20" spans="1:4" x14ac:dyDescent="0.2">
      <c r="A20" s="2" t="s">
        <v>86</v>
      </c>
      <c r="B20" s="4">
        <f>3060</f>
        <v>3060</v>
      </c>
      <c r="C20" s="4">
        <f>2940</f>
        <v>2940</v>
      </c>
      <c r="D20" s="4">
        <f t="shared" si="0"/>
        <v>6000</v>
      </c>
    </row>
    <row r="21" spans="1:4" x14ac:dyDescent="0.2">
      <c r="A21" s="2" t="s">
        <v>85</v>
      </c>
      <c r="B21" s="4">
        <f>500</f>
        <v>500</v>
      </c>
      <c r="C21" s="4">
        <f>950</f>
        <v>950</v>
      </c>
      <c r="D21" s="4">
        <f t="shared" si="0"/>
        <v>1450</v>
      </c>
    </row>
    <row r="22" spans="1:4" x14ac:dyDescent="0.2">
      <c r="A22" s="2" t="s">
        <v>84</v>
      </c>
      <c r="B22" s="4">
        <f>1920</f>
        <v>1920</v>
      </c>
      <c r="C22" s="4">
        <f>1705</f>
        <v>1705</v>
      </c>
      <c r="D22" s="4">
        <f t="shared" si="0"/>
        <v>3625</v>
      </c>
    </row>
    <row r="23" spans="1:4" x14ac:dyDescent="0.2">
      <c r="A23" s="2" t="s">
        <v>83</v>
      </c>
      <c r="B23" s="4">
        <f>50</f>
        <v>50</v>
      </c>
      <c r="C23" s="4">
        <f>30</f>
        <v>30</v>
      </c>
      <c r="D23" s="4">
        <f t="shared" si="0"/>
        <v>80</v>
      </c>
    </row>
    <row r="24" spans="1:4" x14ac:dyDescent="0.2">
      <c r="A24" s="2" t="s">
        <v>82</v>
      </c>
      <c r="B24" s="4">
        <f>21</f>
        <v>21</v>
      </c>
      <c r="C24" s="4">
        <f>9</f>
        <v>9</v>
      </c>
      <c r="D24" s="4">
        <f t="shared" si="0"/>
        <v>30</v>
      </c>
    </row>
    <row r="25" spans="1:4" hidden="1" x14ac:dyDescent="0.2">
      <c r="A25" s="2" t="s">
        <v>81</v>
      </c>
      <c r="B25" s="6">
        <f>(((((B19)+(B20))+(B21))+(B22))+(B23))+(B24)</f>
        <v>5551</v>
      </c>
      <c r="C25" s="6">
        <f>(((((C19)+(C20))+(C21))+(C22))+(C23))+(C24)</f>
        <v>5634</v>
      </c>
      <c r="D25" s="6">
        <f t="shared" si="0"/>
        <v>11185</v>
      </c>
    </row>
    <row r="26" spans="1:4" x14ac:dyDescent="0.2">
      <c r="A26" s="2" t="s">
        <v>80</v>
      </c>
      <c r="B26" s="4"/>
      <c r="C26" s="4"/>
      <c r="D26" s="4">
        <f t="shared" si="0"/>
        <v>0</v>
      </c>
    </row>
    <row r="27" spans="1:4" x14ac:dyDescent="0.2">
      <c r="A27" s="2" t="s">
        <v>79</v>
      </c>
      <c r="B27" s="4">
        <f>90</f>
        <v>90</v>
      </c>
      <c r="C27" s="4">
        <f>210</f>
        <v>210</v>
      </c>
      <c r="D27" s="4">
        <f t="shared" si="0"/>
        <v>300</v>
      </c>
    </row>
    <row r="28" spans="1:4" x14ac:dyDescent="0.2">
      <c r="A28" s="2" t="s">
        <v>78</v>
      </c>
      <c r="B28" s="4">
        <f>1740</f>
        <v>1740</v>
      </c>
      <c r="C28" s="4">
        <f>60</f>
        <v>60</v>
      </c>
      <c r="D28" s="4">
        <f t="shared" si="0"/>
        <v>1800</v>
      </c>
    </row>
    <row r="29" spans="1:4" hidden="1" x14ac:dyDescent="0.2">
      <c r="A29" s="2" t="s">
        <v>77</v>
      </c>
      <c r="B29" s="6">
        <f>((B26)+(B27))+(B28)</f>
        <v>1830</v>
      </c>
      <c r="C29" s="6">
        <f>((C26)+(C27))+(C28)</f>
        <v>270</v>
      </c>
      <c r="D29" s="6">
        <f t="shared" si="0"/>
        <v>2100</v>
      </c>
    </row>
    <row r="30" spans="1:4" x14ac:dyDescent="0.2">
      <c r="A30" s="2" t="s">
        <v>76</v>
      </c>
      <c r="B30" s="6">
        <f>(((((B11)+(B12))+(B17))+(B18))+(B25))+(B29)</f>
        <v>33336</v>
      </c>
      <c r="C30" s="6">
        <f>(((((C11)+(C12))+(C17))+(C18))+(C25))+(C29)</f>
        <v>16509</v>
      </c>
      <c r="D30" s="6">
        <f t="shared" si="0"/>
        <v>49845</v>
      </c>
    </row>
    <row r="31" spans="1:4" x14ac:dyDescent="0.2">
      <c r="A31" s="2"/>
      <c r="B31" s="8"/>
      <c r="C31" s="8"/>
      <c r="D31" s="8"/>
    </row>
    <row r="32" spans="1:4" x14ac:dyDescent="0.2">
      <c r="A32" s="2" t="s">
        <v>75</v>
      </c>
      <c r="B32" s="4"/>
      <c r="C32" s="4"/>
      <c r="D32" s="4">
        <f>(B32)+(C32)</f>
        <v>0</v>
      </c>
    </row>
    <row r="33" spans="1:4" x14ac:dyDescent="0.2">
      <c r="A33" s="2" t="s">
        <v>74</v>
      </c>
      <c r="B33" s="4">
        <f>50</f>
        <v>50</v>
      </c>
      <c r="C33" s="4"/>
      <c r="D33" s="4">
        <f>(B33)+(C33)</f>
        <v>50</v>
      </c>
    </row>
    <row r="34" spans="1:4" x14ac:dyDescent="0.2">
      <c r="A34" s="2" t="s">
        <v>73</v>
      </c>
      <c r="B34" s="6">
        <f>(B32)+(B33)</f>
        <v>50</v>
      </c>
      <c r="C34" s="6">
        <f>(C32)+(C33)</f>
        <v>0</v>
      </c>
      <c r="D34" s="6">
        <f>(B34)+(C34)</f>
        <v>50</v>
      </c>
    </row>
    <row r="35" spans="1:4" x14ac:dyDescent="0.2">
      <c r="A35" s="2"/>
      <c r="B35" s="8"/>
      <c r="C35" s="8"/>
      <c r="D35" s="8"/>
    </row>
    <row r="36" spans="1:4" x14ac:dyDescent="0.2">
      <c r="A36" s="2" t="s">
        <v>72</v>
      </c>
      <c r="B36" s="6">
        <f>((B9)+(B30))+(B34)</f>
        <v>33396</v>
      </c>
      <c r="C36" s="6">
        <f>((C9)+(C30))+(C34)</f>
        <v>16509</v>
      </c>
      <c r="D36" s="6">
        <f>(B36)+(C36)</f>
        <v>49905</v>
      </c>
    </row>
    <row r="37" spans="1:4" x14ac:dyDescent="0.2">
      <c r="A37" s="2"/>
      <c r="B37" s="8"/>
      <c r="C37" s="8"/>
      <c r="D37" s="8"/>
    </row>
    <row r="38" spans="1:4" hidden="1" x14ac:dyDescent="0.2">
      <c r="A38" s="2" t="s">
        <v>71</v>
      </c>
      <c r="B38" s="8">
        <f>(B36)-(0)</f>
        <v>33396</v>
      </c>
      <c r="C38" s="8">
        <f>(C36)-(0)</f>
        <v>16509</v>
      </c>
      <c r="D38" s="8">
        <f>(B38)+(C38)</f>
        <v>49905</v>
      </c>
    </row>
    <row r="39" spans="1:4" x14ac:dyDescent="0.2">
      <c r="A39" s="2" t="s">
        <v>70</v>
      </c>
      <c r="B39" s="4"/>
      <c r="C39" s="4"/>
      <c r="D39" s="4"/>
    </row>
    <row r="40" spans="1:4" x14ac:dyDescent="0.2">
      <c r="A40" s="2" t="s">
        <v>69</v>
      </c>
      <c r="B40" s="4"/>
      <c r="C40" s="4"/>
      <c r="D40" s="4">
        <f t="shared" ref="D40:D46" si="1">(B40)+(C40)</f>
        <v>0</v>
      </c>
    </row>
    <row r="41" spans="1:4" x14ac:dyDescent="0.2">
      <c r="A41" s="2" t="s">
        <v>68</v>
      </c>
      <c r="B41" s="4">
        <f>300</f>
        <v>300</v>
      </c>
      <c r="C41" s="4">
        <f>300</f>
        <v>300</v>
      </c>
      <c r="D41" s="4">
        <f t="shared" si="1"/>
        <v>600</v>
      </c>
    </row>
    <row r="42" spans="1:4" x14ac:dyDescent="0.2">
      <c r="A42" s="2" t="s">
        <v>67</v>
      </c>
      <c r="B42" s="4">
        <f>3813</f>
        <v>3813</v>
      </c>
      <c r="C42" s="4">
        <f>3813</f>
        <v>3813</v>
      </c>
      <c r="D42" s="4">
        <f t="shared" si="1"/>
        <v>7626</v>
      </c>
    </row>
    <row r="43" spans="1:4" x14ac:dyDescent="0.2">
      <c r="A43" s="2" t="s">
        <v>66</v>
      </c>
      <c r="B43" s="4">
        <f>1024</f>
        <v>1024</v>
      </c>
      <c r="C43" s="4">
        <f>1024</f>
        <v>1024</v>
      </c>
      <c r="D43" s="4">
        <f t="shared" si="1"/>
        <v>2048</v>
      </c>
    </row>
    <row r="44" spans="1:4" x14ac:dyDescent="0.2">
      <c r="A44" s="2" t="s">
        <v>65</v>
      </c>
      <c r="B44" s="4">
        <f>1368</f>
        <v>1368</v>
      </c>
      <c r="C44" s="4">
        <f>1368</f>
        <v>1368</v>
      </c>
      <c r="D44" s="4">
        <f t="shared" si="1"/>
        <v>2736</v>
      </c>
    </row>
    <row r="45" spans="1:4" x14ac:dyDescent="0.2">
      <c r="A45" s="2" t="s">
        <v>64</v>
      </c>
      <c r="B45" s="4">
        <f>1685</f>
        <v>1685</v>
      </c>
      <c r="C45" s="4">
        <f>685</f>
        <v>685</v>
      </c>
      <c r="D45" s="4">
        <f t="shared" si="1"/>
        <v>2370</v>
      </c>
    </row>
    <row r="46" spans="1:4" x14ac:dyDescent="0.2">
      <c r="A46" s="2" t="s">
        <v>63</v>
      </c>
      <c r="B46" s="6">
        <f>(((((B40)+(B41))+(B42))+(B43))+(B44))+(B45)</f>
        <v>8190</v>
      </c>
      <c r="C46" s="6">
        <f>(((((C40)+(C41))+(C42))+(C43))+(C44))+(C45)</f>
        <v>7190</v>
      </c>
      <c r="D46" s="6">
        <f t="shared" si="1"/>
        <v>15380</v>
      </c>
    </row>
    <row r="47" spans="1:4" x14ac:dyDescent="0.2">
      <c r="A47" s="2"/>
      <c r="B47" s="8"/>
      <c r="C47" s="8"/>
      <c r="D47" s="8"/>
    </row>
    <row r="48" spans="1:4" x14ac:dyDescent="0.2">
      <c r="A48" s="2" t="s">
        <v>62</v>
      </c>
      <c r="B48" s="4"/>
      <c r="C48" s="4"/>
      <c r="D48" s="4">
        <f t="shared" ref="D48:D53" si="2">(B48)+(C48)</f>
        <v>0</v>
      </c>
    </row>
    <row r="49" spans="1:4" x14ac:dyDescent="0.2">
      <c r="A49" s="2" t="s">
        <v>61</v>
      </c>
      <c r="B49" s="4">
        <f>541.72</f>
        <v>541.72</v>
      </c>
      <c r="C49" s="4"/>
      <c r="D49" s="4">
        <f t="shared" si="2"/>
        <v>541.72</v>
      </c>
    </row>
    <row r="50" spans="1:4" x14ac:dyDescent="0.2">
      <c r="A50" s="2" t="s">
        <v>60</v>
      </c>
      <c r="B50" s="4">
        <f>154.23</f>
        <v>154.22999999999999</v>
      </c>
      <c r="C50" s="4">
        <f>341.83</f>
        <v>341.83</v>
      </c>
      <c r="D50" s="4">
        <f t="shared" si="2"/>
        <v>496.05999999999995</v>
      </c>
    </row>
    <row r="51" spans="1:4" x14ac:dyDescent="0.2">
      <c r="A51" s="2" t="s">
        <v>59</v>
      </c>
      <c r="B51" s="4">
        <f>23.85</f>
        <v>23.85</v>
      </c>
      <c r="C51" s="4">
        <f>791.95</f>
        <v>791.95</v>
      </c>
      <c r="D51" s="4">
        <f t="shared" si="2"/>
        <v>815.80000000000007</v>
      </c>
    </row>
    <row r="52" spans="1:4" x14ac:dyDescent="0.2">
      <c r="A52" s="2" t="s">
        <v>58</v>
      </c>
      <c r="B52" s="4">
        <f>1309.72</f>
        <v>1309.72</v>
      </c>
      <c r="C52" s="4">
        <f>940.39</f>
        <v>940.39</v>
      </c>
      <c r="D52" s="4">
        <f t="shared" si="2"/>
        <v>2250.11</v>
      </c>
    </row>
    <row r="53" spans="1:4" x14ac:dyDescent="0.2">
      <c r="A53" s="2" t="s">
        <v>57</v>
      </c>
      <c r="B53" s="6">
        <f>((((B48)+(B49))+(B50))+(B51))+(B52)</f>
        <v>2029.52</v>
      </c>
      <c r="C53" s="6">
        <f>((((C48)+(C49))+(C50))+(C51))+(C52)</f>
        <v>2074.17</v>
      </c>
      <c r="D53" s="6">
        <f t="shared" si="2"/>
        <v>4103.6900000000005</v>
      </c>
    </row>
    <row r="54" spans="1:4" x14ac:dyDescent="0.2">
      <c r="A54" s="2"/>
      <c r="B54" s="8"/>
      <c r="C54" s="8"/>
      <c r="D54" s="8"/>
    </row>
    <row r="55" spans="1:4" x14ac:dyDescent="0.2">
      <c r="A55" s="2" t="s">
        <v>56</v>
      </c>
      <c r="B55" s="4"/>
      <c r="C55" s="4"/>
      <c r="D55" s="4">
        <f>(B55)+(C55)</f>
        <v>0</v>
      </c>
    </row>
    <row r="56" spans="1:4" x14ac:dyDescent="0.2">
      <c r="A56" s="2" t="s">
        <v>55</v>
      </c>
      <c r="B56" s="4">
        <f>31.35</f>
        <v>31.35</v>
      </c>
      <c r="C56" s="4"/>
      <c r="D56" s="4">
        <f>(B56)+(C56)</f>
        <v>31.35</v>
      </c>
    </row>
    <row r="57" spans="1:4" x14ac:dyDescent="0.2">
      <c r="A57" s="2" t="s">
        <v>54</v>
      </c>
      <c r="B57" s="4">
        <f>32</f>
        <v>32</v>
      </c>
      <c r="C57" s="4">
        <f>12</f>
        <v>12</v>
      </c>
      <c r="D57" s="4">
        <f>(B57)+(C57)</f>
        <v>44</v>
      </c>
    </row>
    <row r="58" spans="1:4" x14ac:dyDescent="0.2">
      <c r="A58" s="2" t="s">
        <v>53</v>
      </c>
      <c r="B58" s="6">
        <f>((B55)+(B56))+(B57)</f>
        <v>63.35</v>
      </c>
      <c r="C58" s="6">
        <f>((C55)+(C56))+(C57)</f>
        <v>12</v>
      </c>
      <c r="D58" s="6">
        <f>(B58)+(C58)</f>
        <v>75.349999999999994</v>
      </c>
    </row>
    <row r="59" spans="1:4" x14ac:dyDescent="0.2">
      <c r="A59" s="2"/>
      <c r="B59" s="8"/>
      <c r="C59" s="8"/>
      <c r="D59" s="8"/>
    </row>
    <row r="60" spans="1:4" x14ac:dyDescent="0.2">
      <c r="A60" s="2" t="s">
        <v>52</v>
      </c>
      <c r="B60" s="4"/>
      <c r="C60" s="4"/>
      <c r="D60" s="4">
        <f>(B60)+(C60)</f>
        <v>0</v>
      </c>
    </row>
    <row r="61" spans="1:4" x14ac:dyDescent="0.2">
      <c r="A61" s="2" t="s">
        <v>51</v>
      </c>
      <c r="B61" s="4"/>
      <c r="C61" s="4"/>
      <c r="D61" s="4">
        <f>(B61)+(C61)</f>
        <v>0</v>
      </c>
    </row>
    <row r="62" spans="1:4" x14ac:dyDescent="0.2">
      <c r="A62" s="2" t="s">
        <v>50</v>
      </c>
      <c r="B62" s="4"/>
      <c r="C62" s="4">
        <f>2129</f>
        <v>2129</v>
      </c>
      <c r="D62" s="4">
        <f>(B62)+(C62)</f>
        <v>2129</v>
      </c>
    </row>
    <row r="63" spans="1:4" x14ac:dyDescent="0.2">
      <c r="A63" s="2" t="s">
        <v>49</v>
      </c>
      <c r="B63" s="6">
        <f>(B61)+(B62)</f>
        <v>0</v>
      </c>
      <c r="C63" s="6">
        <f>(C61)+(C62)</f>
        <v>2129</v>
      </c>
      <c r="D63" s="6">
        <f>(B63)+(C63)</f>
        <v>2129</v>
      </c>
    </row>
    <row r="64" spans="1:4" x14ac:dyDescent="0.2">
      <c r="A64" s="2"/>
      <c r="B64" s="8"/>
      <c r="C64" s="8"/>
      <c r="D64" s="8"/>
    </row>
    <row r="65" spans="1:4" x14ac:dyDescent="0.2">
      <c r="A65" s="2" t="s">
        <v>48</v>
      </c>
      <c r="B65" s="4">
        <f>49.25</f>
        <v>49.25</v>
      </c>
      <c r="C65" s="4">
        <f>12</f>
        <v>12</v>
      </c>
      <c r="D65" s="4">
        <f>(B65)+(C65)</f>
        <v>61.25</v>
      </c>
    </row>
    <row r="66" spans="1:4" x14ac:dyDescent="0.2">
      <c r="A66" s="2" t="s">
        <v>47</v>
      </c>
      <c r="B66" s="4">
        <f>1497.94</f>
        <v>1497.94</v>
      </c>
      <c r="C66" s="4">
        <f>740.47</f>
        <v>740.47</v>
      </c>
      <c r="D66" s="4">
        <f>(B66)+(C66)</f>
        <v>2238.41</v>
      </c>
    </row>
    <row r="67" spans="1:4" x14ac:dyDescent="0.2">
      <c r="A67" s="2" t="s">
        <v>46</v>
      </c>
      <c r="B67" s="4">
        <f>405</f>
        <v>405</v>
      </c>
      <c r="C67" s="4"/>
      <c r="D67" s="4">
        <f>(B67)+(C67)</f>
        <v>405</v>
      </c>
    </row>
    <row r="68" spans="1:4" x14ac:dyDescent="0.2">
      <c r="A68" s="2" t="s">
        <v>45</v>
      </c>
      <c r="B68" s="6">
        <f>((((B60)+(B63))+(B65))+(B66))+(B67)</f>
        <v>1952.19</v>
      </c>
      <c r="C68" s="6">
        <f>((((C60)+(C63))+(C65))+(C66))+(C67)</f>
        <v>2881.4700000000003</v>
      </c>
      <c r="D68" s="6">
        <f>(B68)+(C68)</f>
        <v>4833.66</v>
      </c>
    </row>
    <row r="69" spans="1:4" x14ac:dyDescent="0.2">
      <c r="A69" s="2"/>
      <c r="B69" s="8"/>
      <c r="C69" s="8"/>
      <c r="D69" s="8"/>
    </row>
    <row r="70" spans="1:4" x14ac:dyDescent="0.2">
      <c r="A70" s="2" t="s">
        <v>44</v>
      </c>
      <c r="B70" s="6">
        <f>(((B46)+(B53))+(B58))+(B68)</f>
        <v>12235.060000000001</v>
      </c>
      <c r="C70" s="6">
        <f>(((C46)+(C53))+(C58))+(C68)</f>
        <v>12157.64</v>
      </c>
      <c r="D70" s="6">
        <f>(B70)+(C70)</f>
        <v>24392.7</v>
      </c>
    </row>
    <row r="71" spans="1:4" hidden="1" x14ac:dyDescent="0.2">
      <c r="A71" s="2" t="s">
        <v>43</v>
      </c>
      <c r="B71" s="6">
        <f>(B38)-(B70)</f>
        <v>21160.94</v>
      </c>
      <c r="C71" s="6">
        <f>(C38)-(C70)</f>
        <v>4351.3600000000006</v>
      </c>
      <c r="D71" s="6">
        <f>(B71)+(C71)</f>
        <v>25512.3</v>
      </c>
    </row>
    <row r="72" spans="1:4" x14ac:dyDescent="0.2">
      <c r="A72" s="2"/>
      <c r="B72" s="8"/>
      <c r="C72" s="8"/>
      <c r="D72" s="8"/>
    </row>
    <row r="73" spans="1:4" x14ac:dyDescent="0.2">
      <c r="A73" s="2" t="s">
        <v>42</v>
      </c>
      <c r="B73" s="4"/>
      <c r="C73" s="4"/>
      <c r="D73" s="4"/>
    </row>
    <row r="74" spans="1:4" x14ac:dyDescent="0.2">
      <c r="A74" s="2" t="s">
        <v>41</v>
      </c>
      <c r="B74" s="4"/>
      <c r="C74" s="4"/>
      <c r="D74" s="4">
        <f>(B74)+(C74)</f>
        <v>0</v>
      </c>
    </row>
    <row r="75" spans="1:4" x14ac:dyDescent="0.2">
      <c r="A75" s="2" t="s">
        <v>40</v>
      </c>
      <c r="B75" s="4">
        <f>6.28</f>
        <v>6.28</v>
      </c>
      <c r="C75" s="4">
        <f>16.04</f>
        <v>16.04</v>
      </c>
      <c r="D75" s="4">
        <f>(B75)+(C75)</f>
        <v>22.32</v>
      </c>
    </row>
    <row r="76" spans="1:4" hidden="1" x14ac:dyDescent="0.2">
      <c r="A76" s="2" t="s">
        <v>39</v>
      </c>
      <c r="B76" s="6">
        <f>(B74)+(B75)</f>
        <v>6.28</v>
      </c>
      <c r="C76" s="6">
        <f>(C74)+(C75)</f>
        <v>16.04</v>
      </c>
      <c r="D76" s="6">
        <f>(B76)+(C76)</f>
        <v>22.32</v>
      </c>
    </row>
    <row r="77" spans="1:4" hidden="1" x14ac:dyDescent="0.2">
      <c r="A77" s="2" t="s">
        <v>38</v>
      </c>
      <c r="B77" s="6">
        <f>B76</f>
        <v>6.28</v>
      </c>
      <c r="C77" s="6">
        <f>C76</f>
        <v>16.04</v>
      </c>
      <c r="D77" s="6">
        <f>(B77)+(C77)</f>
        <v>22.32</v>
      </c>
    </row>
    <row r="78" spans="1:4" x14ac:dyDescent="0.2">
      <c r="A78" s="2" t="s">
        <v>37</v>
      </c>
      <c r="B78" s="6">
        <f>(B77)-(0)</f>
        <v>6.28</v>
      </c>
      <c r="C78" s="6">
        <f>(C77)-(0)</f>
        <v>16.04</v>
      </c>
      <c r="D78" s="6">
        <f>(B78)+(C78)</f>
        <v>22.32</v>
      </c>
    </row>
    <row r="79" spans="1:4" x14ac:dyDescent="0.2">
      <c r="A79" s="2"/>
      <c r="B79" s="8"/>
      <c r="C79" s="8"/>
      <c r="D79" s="8"/>
    </row>
    <row r="80" spans="1:4" ht="16" thickBot="1" x14ac:dyDescent="0.25">
      <c r="A80" s="2" t="s">
        <v>36</v>
      </c>
      <c r="B80" s="9">
        <f>(B71)+(B78)</f>
        <v>21167.219999999998</v>
      </c>
      <c r="C80" s="9">
        <f>(C71)+(C78)</f>
        <v>4367.4000000000005</v>
      </c>
      <c r="D80" s="9">
        <f>(B80)+(C80)</f>
        <v>25534.62</v>
      </c>
    </row>
    <row r="81" spans="1:4" ht="16" thickTop="1" x14ac:dyDescent="0.2">
      <c r="A81" s="2"/>
      <c r="B81" s="4"/>
      <c r="C81" s="4"/>
      <c r="D81" s="4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fitToHeight="0" orientation="portrait" r:id="rId1"/>
  <headerFooter>
    <oddFooter>Page &amp;P of &amp;N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Stmt of Fin Pos</vt:lpstr>
      <vt:lpstr>Stmt of Fin Act</vt:lpstr>
      <vt:lpstr>Stmt of Fin Act by Class</vt:lpstr>
      <vt:lpstr>Stmt of Fin Act by Month</vt:lpstr>
      <vt:lpstr>'Stmt of Fin Act'!Print_Titles</vt:lpstr>
      <vt:lpstr>'Stmt of Fin Act by Month'!Print_Titles</vt:lpstr>
      <vt:lpstr>'Stmt of Fin Pos'!Print_Titles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George Chaney</cp:lastModifiedBy>
  <dcterms:created xsi:type="dcterms:W3CDTF">2026-03-17T05:35:24Z</dcterms:created>
  <dcterms:modified xsi:type="dcterms:W3CDTF">2026-03-17T11:42:21Z</dcterms:modified>
</cp:coreProperties>
</file>