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With Me\B&amp;A\Groundswell Teams\003 Amstel\American Dexter Cattle Association\1 Bookkeeping\1 FY 2026\04 - Apr\2 Financial Stmts\"/>
    </mc:Choice>
  </mc:AlternateContent>
  <xr:revisionPtr revIDLastSave="0" documentId="8_{47D7EACC-7421-46BC-93C4-7D7DD7358B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mt of Fin Pos" sheetId="1" r:id="rId1"/>
    <sheet name="Stmt of Fin Act" sheetId="2" r:id="rId2"/>
    <sheet name="Stmt of Fin Act by Class" sheetId="4" r:id="rId3"/>
    <sheet name="Stmt of Fin Act by month" sheetId="3" r:id="rId4"/>
  </sheets>
  <definedNames>
    <definedName name="_xlnm.Print_Titles" localSheetId="1">'Stmt of Fin Act'!$1:$5</definedName>
    <definedName name="_xlnm.Print_Titles" localSheetId="3">'Stmt of Fin Act by month'!$1:$5</definedName>
    <definedName name="_xlnm.Print_Titles" localSheetId="0">'Stmt of Fin Pos'!$1:$5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I7" i="4"/>
  <c r="C8" i="4"/>
  <c r="F8" i="4"/>
  <c r="I8" i="4"/>
  <c r="B9" i="4"/>
  <c r="C9" i="4"/>
  <c r="D9" i="4"/>
  <c r="E9" i="4"/>
  <c r="G9" i="4"/>
  <c r="H9" i="4"/>
  <c r="F11" i="4"/>
  <c r="I11" i="4"/>
  <c r="J11" i="4"/>
  <c r="C12" i="4"/>
  <c r="I12" i="4"/>
  <c r="F13" i="4"/>
  <c r="I13" i="4"/>
  <c r="C14" i="4"/>
  <c r="F14" i="4"/>
  <c r="I14" i="4"/>
  <c r="C15" i="4"/>
  <c r="F15" i="4"/>
  <c r="I15" i="4"/>
  <c r="B16" i="4"/>
  <c r="C16" i="4"/>
  <c r="D16" i="4"/>
  <c r="E16" i="4"/>
  <c r="G16" i="4"/>
  <c r="H16" i="4"/>
  <c r="I16" i="4"/>
  <c r="D17" i="4"/>
  <c r="I17" i="4"/>
  <c r="D18" i="4"/>
  <c r="I18" i="4"/>
  <c r="D19" i="4"/>
  <c r="I19" i="4"/>
  <c r="F20" i="4"/>
  <c r="I20" i="4"/>
  <c r="C21" i="4"/>
  <c r="I21" i="4"/>
  <c r="C22" i="4"/>
  <c r="I22" i="4"/>
  <c r="C23" i="4"/>
  <c r="I23" i="4"/>
  <c r="C24" i="4"/>
  <c r="F24" i="4"/>
  <c r="I24" i="4"/>
  <c r="C25" i="4"/>
  <c r="I25" i="4"/>
  <c r="B26" i="4"/>
  <c r="C26" i="4"/>
  <c r="D26" i="4"/>
  <c r="E26" i="4"/>
  <c r="G26" i="4"/>
  <c r="H26" i="4"/>
  <c r="F27" i="4"/>
  <c r="I27" i="4"/>
  <c r="C28" i="4"/>
  <c r="I28" i="4"/>
  <c r="C29" i="4"/>
  <c r="I29" i="4"/>
  <c r="B30" i="4"/>
  <c r="D30" i="4"/>
  <c r="E30" i="4"/>
  <c r="G30" i="4"/>
  <c r="H30" i="4"/>
  <c r="F33" i="4"/>
  <c r="I33" i="4"/>
  <c r="D34" i="4"/>
  <c r="F34" i="4"/>
  <c r="I34" i="4"/>
  <c r="B35" i="4"/>
  <c r="C35" i="4"/>
  <c r="D35" i="4"/>
  <c r="E35" i="4"/>
  <c r="G35" i="4"/>
  <c r="H35" i="4"/>
  <c r="I35" i="4"/>
  <c r="F41" i="4"/>
  <c r="I41" i="4"/>
  <c r="C42" i="4"/>
  <c r="I42" i="4"/>
  <c r="C43" i="4"/>
  <c r="F43" i="4"/>
  <c r="I43" i="4"/>
  <c r="C44" i="4"/>
  <c r="I44" i="4"/>
  <c r="C45" i="4"/>
  <c r="I45" i="4"/>
  <c r="F46" i="4"/>
  <c r="H46" i="4"/>
  <c r="B47" i="4"/>
  <c r="C47" i="4"/>
  <c r="D47" i="4"/>
  <c r="E47" i="4"/>
  <c r="G47" i="4"/>
  <c r="F49" i="4"/>
  <c r="I49" i="4"/>
  <c r="D50" i="4"/>
  <c r="H50" i="4"/>
  <c r="F51" i="4"/>
  <c r="H51" i="4"/>
  <c r="F52" i="4"/>
  <c r="H52" i="4"/>
  <c r="F53" i="4"/>
  <c r="H53" i="4"/>
  <c r="E54" i="4"/>
  <c r="H54" i="4"/>
  <c r="I54" i="4"/>
  <c r="B55" i="4"/>
  <c r="C55" i="4"/>
  <c r="E55" i="4"/>
  <c r="G55" i="4"/>
  <c r="H55" i="4"/>
  <c r="F57" i="4"/>
  <c r="I57" i="4"/>
  <c r="D58" i="4"/>
  <c r="F58" i="4"/>
  <c r="I58" i="4"/>
  <c r="C59" i="4"/>
  <c r="H59" i="4"/>
  <c r="C60" i="4"/>
  <c r="F60" i="4"/>
  <c r="I60" i="4"/>
  <c r="B61" i="4"/>
  <c r="E61" i="4"/>
  <c r="G61" i="4"/>
  <c r="F63" i="4"/>
  <c r="I63" i="4"/>
  <c r="F64" i="4"/>
  <c r="I64" i="4"/>
  <c r="F65" i="4"/>
  <c r="H65" i="4"/>
  <c r="I65" i="4"/>
  <c r="F66" i="4"/>
  <c r="H66" i="4"/>
  <c r="I66" i="4"/>
  <c r="B67" i="4"/>
  <c r="C67" i="4"/>
  <c r="D67" i="4"/>
  <c r="E67" i="4"/>
  <c r="G67" i="4"/>
  <c r="F69" i="4"/>
  <c r="H69" i="4"/>
  <c r="I69" i="4"/>
  <c r="F70" i="4"/>
  <c r="H70" i="4"/>
  <c r="I70" i="4"/>
  <c r="C71" i="4"/>
  <c r="H71" i="4"/>
  <c r="I71" i="4"/>
  <c r="F72" i="4"/>
  <c r="H72" i="4"/>
  <c r="I72" i="4"/>
  <c r="F79" i="4"/>
  <c r="I79" i="4"/>
  <c r="F80" i="4"/>
  <c r="H80" i="4"/>
  <c r="I80" i="4"/>
  <c r="B81" i="4"/>
  <c r="C81" i="4"/>
  <c r="D81" i="4"/>
  <c r="E81" i="4"/>
  <c r="F81" i="4"/>
  <c r="G81" i="4"/>
  <c r="H81" i="4"/>
  <c r="B82" i="4"/>
  <c r="C82" i="4"/>
  <c r="D82" i="4"/>
  <c r="E82" i="4"/>
  <c r="F82" i="4"/>
  <c r="G82" i="4"/>
  <c r="H82" i="4"/>
  <c r="I82" i="4"/>
  <c r="B83" i="4"/>
  <c r="C83" i="4"/>
  <c r="D83" i="4"/>
  <c r="E83" i="4"/>
  <c r="G83" i="4"/>
  <c r="H83" i="4"/>
  <c r="I83" i="4"/>
  <c r="F7" i="3"/>
  <c r="B8" i="3"/>
  <c r="C8" i="3"/>
  <c r="B9" i="3"/>
  <c r="C9" i="3"/>
  <c r="D9" i="3"/>
  <c r="E9" i="3"/>
  <c r="F11" i="3"/>
  <c r="B12" i="3"/>
  <c r="C12" i="3"/>
  <c r="D12" i="3"/>
  <c r="E12" i="3"/>
  <c r="F13" i="3"/>
  <c r="B14" i="3"/>
  <c r="C14" i="3"/>
  <c r="D14" i="3"/>
  <c r="E14" i="3"/>
  <c r="F14" i="3"/>
  <c r="B15" i="3"/>
  <c r="C15" i="3"/>
  <c r="D15" i="3"/>
  <c r="F15" i="3"/>
  <c r="B16" i="3"/>
  <c r="C16" i="3"/>
  <c r="B17" i="3"/>
  <c r="C17" i="3"/>
  <c r="D17" i="3"/>
  <c r="E17" i="3"/>
  <c r="B18" i="3"/>
  <c r="C18" i="3"/>
  <c r="D18" i="3"/>
  <c r="E18" i="3"/>
  <c r="F18" i="3"/>
  <c r="D19" i="3"/>
  <c r="E19" i="3"/>
  <c r="D20" i="3"/>
  <c r="E20" i="3"/>
  <c r="F20" i="3"/>
  <c r="F21" i="3"/>
  <c r="B22" i="3"/>
  <c r="C22" i="3"/>
  <c r="D22" i="3"/>
  <c r="E22" i="3"/>
  <c r="B23" i="3"/>
  <c r="C23" i="3"/>
  <c r="D23" i="3"/>
  <c r="E23" i="3"/>
  <c r="F23" i="3"/>
  <c r="B24" i="3"/>
  <c r="C24" i="3"/>
  <c r="D24" i="3"/>
  <c r="E24" i="3"/>
  <c r="B25" i="3"/>
  <c r="C25" i="3"/>
  <c r="D25" i="3"/>
  <c r="E25" i="3"/>
  <c r="B26" i="3"/>
  <c r="C26" i="3"/>
  <c r="D26" i="3"/>
  <c r="E26" i="3"/>
  <c r="F26" i="3"/>
  <c r="F28" i="3"/>
  <c r="B29" i="3"/>
  <c r="C29" i="3"/>
  <c r="D29" i="3"/>
  <c r="E29" i="3"/>
  <c r="F29" i="3"/>
  <c r="B30" i="3"/>
  <c r="C30" i="3"/>
  <c r="D30" i="3"/>
  <c r="E30" i="3"/>
  <c r="F30" i="3"/>
  <c r="B31" i="3"/>
  <c r="C31" i="3"/>
  <c r="D31" i="3"/>
  <c r="E31" i="3"/>
  <c r="F34" i="3"/>
  <c r="B35" i="3"/>
  <c r="F35" i="3"/>
  <c r="B36" i="3"/>
  <c r="C36" i="3"/>
  <c r="D36" i="3"/>
  <c r="E36" i="3"/>
  <c r="F42" i="3"/>
  <c r="B43" i="3"/>
  <c r="C43" i="3"/>
  <c r="D43" i="3"/>
  <c r="E43" i="3"/>
  <c r="F43" i="3"/>
  <c r="B44" i="3"/>
  <c r="C44" i="3"/>
  <c r="D44" i="3"/>
  <c r="E44" i="3"/>
  <c r="B45" i="3"/>
  <c r="C45" i="3"/>
  <c r="D45" i="3"/>
  <c r="E45" i="3"/>
  <c r="F45" i="3"/>
  <c r="B46" i="3"/>
  <c r="C46" i="3"/>
  <c r="D46" i="3"/>
  <c r="E46" i="3"/>
  <c r="F46" i="3"/>
  <c r="B47" i="3"/>
  <c r="C47" i="3"/>
  <c r="D47" i="3"/>
  <c r="E47" i="3"/>
  <c r="F47" i="3"/>
  <c r="B48" i="3"/>
  <c r="C48" i="3"/>
  <c r="D48" i="3"/>
  <c r="E48" i="3"/>
  <c r="F50" i="3"/>
  <c r="B51" i="3"/>
  <c r="D51" i="3"/>
  <c r="E51" i="3"/>
  <c r="B52" i="3"/>
  <c r="C52" i="3"/>
  <c r="D52" i="3"/>
  <c r="E52" i="3"/>
  <c r="F52" i="3"/>
  <c r="B53" i="3"/>
  <c r="C53" i="3"/>
  <c r="D53" i="3"/>
  <c r="F53" i="3"/>
  <c r="B54" i="3"/>
  <c r="C54" i="3"/>
  <c r="D54" i="3"/>
  <c r="E54" i="3"/>
  <c r="F54" i="3"/>
  <c r="B55" i="3"/>
  <c r="D55" i="3"/>
  <c r="B56" i="3"/>
  <c r="C56" i="3"/>
  <c r="D56" i="3"/>
  <c r="E56" i="3"/>
  <c r="F58" i="3"/>
  <c r="B59" i="3"/>
  <c r="D59" i="3"/>
  <c r="F59" i="3"/>
  <c r="B60" i="3"/>
  <c r="C60" i="3"/>
  <c r="D61" i="3"/>
  <c r="E61" i="3"/>
  <c r="B62" i="3"/>
  <c r="D62" i="3"/>
  <c r="E62" i="3"/>
  <c r="F64" i="3"/>
  <c r="F65" i="3"/>
  <c r="C66" i="3"/>
  <c r="D67" i="3"/>
  <c r="B68" i="3"/>
  <c r="E68" i="3"/>
  <c r="B70" i="3"/>
  <c r="C70" i="3"/>
  <c r="D70" i="3"/>
  <c r="B71" i="3"/>
  <c r="C71" i="3"/>
  <c r="D71" i="3"/>
  <c r="E71" i="3"/>
  <c r="D72" i="3"/>
  <c r="E72" i="3"/>
  <c r="F72" i="3"/>
  <c r="B73" i="3"/>
  <c r="F73" i="3"/>
  <c r="F80" i="3"/>
  <c r="B81" i="3"/>
  <c r="C81" i="3"/>
  <c r="D81" i="3"/>
  <c r="E81" i="3"/>
  <c r="F81" i="3"/>
  <c r="B82" i="3"/>
  <c r="C82" i="3"/>
  <c r="D82" i="3"/>
  <c r="E82" i="3"/>
  <c r="B83" i="3"/>
  <c r="C83" i="3"/>
  <c r="E83" i="3"/>
  <c r="B84" i="3"/>
  <c r="C84" i="3"/>
  <c r="E84" i="3"/>
  <c r="B8" i="2"/>
  <c r="B12" i="2"/>
  <c r="B14" i="2"/>
  <c r="B15" i="2"/>
  <c r="B17" i="2"/>
  <c r="B18" i="2"/>
  <c r="B19" i="2"/>
  <c r="B21" i="2"/>
  <c r="B22" i="2"/>
  <c r="B23" i="2"/>
  <c r="B24" i="2"/>
  <c r="B25" i="2"/>
  <c r="B28" i="2"/>
  <c r="B29" i="2"/>
  <c r="B34" i="2"/>
  <c r="B35" i="2"/>
  <c r="B42" i="2"/>
  <c r="B43" i="2"/>
  <c r="B44" i="2"/>
  <c r="B45" i="2"/>
  <c r="B46" i="2"/>
  <c r="B50" i="2"/>
  <c r="B51" i="2"/>
  <c r="B52" i="2"/>
  <c r="B53" i="2"/>
  <c r="B54" i="2"/>
  <c r="B55" i="2"/>
  <c r="B58" i="2"/>
  <c r="B59" i="2"/>
  <c r="B60" i="2"/>
  <c r="B61" i="2"/>
  <c r="B65" i="2"/>
  <c r="B66" i="2"/>
  <c r="B67" i="2"/>
  <c r="B69" i="2"/>
  <c r="B70" i="2"/>
  <c r="B71" i="2"/>
  <c r="B72" i="2"/>
  <c r="B80" i="2"/>
  <c r="B81" i="2"/>
  <c r="B35" i="1"/>
  <c r="B34" i="1"/>
  <c r="B27" i="1"/>
  <c r="B15" i="1"/>
  <c r="B14" i="1"/>
  <c r="B13" i="1"/>
  <c r="B12" i="1"/>
  <c r="B11" i="1"/>
  <c r="B10" i="1"/>
  <c r="D55" i="4" l="1"/>
  <c r="F45" i="4"/>
  <c r="F9" i="4"/>
  <c r="I9" i="4"/>
  <c r="J15" i="4"/>
  <c r="J82" i="4"/>
  <c r="F50" i="4"/>
  <c r="F17" i="4"/>
  <c r="F28" i="4"/>
  <c r="J28" i="4" s="1"/>
  <c r="I59" i="4"/>
  <c r="J14" i="4"/>
  <c r="J41" i="4"/>
  <c r="J43" i="4"/>
  <c r="F44" i="4"/>
  <c r="F54" i="4"/>
  <c r="F59" i="4"/>
  <c r="C61" i="4"/>
  <c r="D61" i="4"/>
  <c r="H61" i="4"/>
  <c r="I61" i="4" s="1"/>
  <c r="J27" i="4"/>
  <c r="I51" i="4"/>
  <c r="J51" i="4" s="1"/>
  <c r="J13" i="4"/>
  <c r="F23" i="4"/>
  <c r="J24" i="4"/>
  <c r="H47" i="4"/>
  <c r="F71" i="4"/>
  <c r="J8" i="4"/>
  <c r="F19" i="4"/>
  <c r="J20" i="4"/>
  <c r="F29" i="4"/>
  <c r="J29" i="4" s="1"/>
  <c r="F42" i="4"/>
  <c r="J42" i="4" s="1"/>
  <c r="I53" i="4"/>
  <c r="J53" i="4" s="1"/>
  <c r="J54" i="4"/>
  <c r="J63" i="4"/>
  <c r="F67" i="4"/>
  <c r="F22" i="4"/>
  <c r="J22" i="4" s="1"/>
  <c r="F18" i="4"/>
  <c r="I52" i="4"/>
  <c r="J52" i="4" s="1"/>
  <c r="J58" i="4"/>
  <c r="C30" i="4"/>
  <c r="B31" i="4"/>
  <c r="D31" i="4"/>
  <c r="D37" i="4" s="1"/>
  <c r="E31" i="4"/>
  <c r="E37" i="4" s="1"/>
  <c r="G31" i="4"/>
  <c r="J45" i="4"/>
  <c r="H67" i="4"/>
  <c r="H73" i="4" s="1"/>
  <c r="B73" i="4"/>
  <c r="C73" i="4"/>
  <c r="D73" i="4"/>
  <c r="E73" i="4"/>
  <c r="G73" i="4"/>
  <c r="E75" i="4"/>
  <c r="G75" i="4"/>
  <c r="I46" i="4"/>
  <c r="J46" i="4" s="1"/>
  <c r="F21" i="4"/>
  <c r="J21" i="4" s="1"/>
  <c r="F35" i="4"/>
  <c r="J35" i="4" s="1"/>
  <c r="J7" i="4"/>
  <c r="J9" i="4"/>
  <c r="F12" i="4"/>
  <c r="J12" i="4" s="1"/>
  <c r="F16" i="4"/>
  <c r="J16" i="4" s="1"/>
  <c r="F25" i="4"/>
  <c r="J25" i="4" s="1"/>
  <c r="F26" i="4"/>
  <c r="I26" i="4"/>
  <c r="I30" i="4"/>
  <c r="H31" i="4"/>
  <c r="J34" i="4"/>
  <c r="F19" i="3"/>
  <c r="F70" i="3"/>
  <c r="F12" i="3"/>
  <c r="F44" i="3"/>
  <c r="F17" i="3"/>
  <c r="F36" i="3"/>
  <c r="F55" i="3"/>
  <c r="F67" i="3"/>
  <c r="D68" i="3"/>
  <c r="F51" i="3"/>
  <c r="F24" i="3"/>
  <c r="F31" i="3"/>
  <c r="F22" i="3"/>
  <c r="F61" i="3"/>
  <c r="F25" i="3"/>
  <c r="B27" i="3"/>
  <c r="C27" i="3"/>
  <c r="D27" i="3"/>
  <c r="E27" i="3"/>
  <c r="F48" i="3"/>
  <c r="F66" i="3"/>
  <c r="C68" i="3"/>
  <c r="F8" i="3"/>
  <c r="F9" i="3"/>
  <c r="F82" i="3"/>
  <c r="F56" i="3"/>
  <c r="D83" i="3"/>
  <c r="B26" i="2"/>
  <c r="B30" i="2"/>
  <c r="B9" i="2"/>
  <c r="J64" i="4"/>
  <c r="J72" i="4"/>
  <c r="J33" i="4"/>
  <c r="F47" i="4"/>
  <c r="J49" i="4"/>
  <c r="I50" i="4"/>
  <c r="I55" i="4"/>
  <c r="J57" i="4"/>
  <c r="J60" i="4"/>
  <c r="J65" i="4"/>
  <c r="J66" i="4"/>
  <c r="J69" i="4"/>
  <c r="J70" i="4"/>
  <c r="J79" i="4"/>
  <c r="J80" i="4"/>
  <c r="I81" i="4"/>
  <c r="J81" i="4" s="1"/>
  <c r="F83" i="4"/>
  <c r="J83" i="4" s="1"/>
  <c r="F16" i="3"/>
  <c r="F60" i="3"/>
  <c r="C62" i="3"/>
  <c r="F62" i="3" s="1"/>
  <c r="F71" i="3"/>
  <c r="B74" i="3"/>
  <c r="E74" i="3"/>
  <c r="B76" i="3"/>
  <c r="E76" i="3"/>
  <c r="B16" i="2"/>
  <c r="B47" i="2"/>
  <c r="B73" i="2"/>
  <c r="B82" i="2"/>
  <c r="B83" i="2" s="1"/>
  <c r="B36" i="1"/>
  <c r="B28" i="1"/>
  <c r="B29" i="1" s="1"/>
  <c r="B30" i="1" s="1"/>
  <c r="B31" i="1" s="1"/>
  <c r="B16" i="1"/>
  <c r="B17" i="1" s="1"/>
  <c r="B18" i="1" s="1"/>
  <c r="B20" i="1" s="1"/>
  <c r="F55" i="4" l="1"/>
  <c r="J17" i="4"/>
  <c r="J50" i="4"/>
  <c r="F30" i="4"/>
  <c r="I67" i="4"/>
  <c r="J44" i="4"/>
  <c r="B75" i="4"/>
  <c r="G37" i="4"/>
  <c r="F61" i="4"/>
  <c r="J61" i="4" s="1"/>
  <c r="D75" i="4"/>
  <c r="H75" i="4"/>
  <c r="D38" i="4"/>
  <c r="D76" i="4" s="1"/>
  <c r="D85" i="4" s="1"/>
  <c r="E38" i="4"/>
  <c r="E76" i="4" s="1"/>
  <c r="E85" i="4" s="1"/>
  <c r="J23" i="4"/>
  <c r="J59" i="4"/>
  <c r="J71" i="4"/>
  <c r="C31" i="4"/>
  <c r="C37" i="4" s="1"/>
  <c r="C38" i="4" s="1"/>
  <c r="I47" i="4"/>
  <c r="J18" i="4"/>
  <c r="J19" i="4"/>
  <c r="I31" i="4"/>
  <c r="B37" i="4"/>
  <c r="F73" i="4"/>
  <c r="I73" i="4"/>
  <c r="C75" i="4"/>
  <c r="H37" i="4"/>
  <c r="H38" i="4" s="1"/>
  <c r="J26" i="4"/>
  <c r="F68" i="3"/>
  <c r="D74" i="3"/>
  <c r="D76" i="3" s="1"/>
  <c r="E32" i="3"/>
  <c r="B32" i="3"/>
  <c r="C32" i="3"/>
  <c r="D32" i="3"/>
  <c r="F27" i="3"/>
  <c r="C74" i="3"/>
  <c r="C76" i="3" s="1"/>
  <c r="D84" i="3"/>
  <c r="F84" i="3" s="1"/>
  <c r="F83" i="3"/>
  <c r="B31" i="2"/>
  <c r="B75" i="2"/>
  <c r="B38" i="1"/>
  <c r="J55" i="4" l="1"/>
  <c r="J67" i="4"/>
  <c r="J30" i="4"/>
  <c r="F75" i="4"/>
  <c r="G38" i="4"/>
  <c r="H76" i="4"/>
  <c r="H85" i="4" s="1"/>
  <c r="I75" i="4"/>
  <c r="F31" i="4"/>
  <c r="J31" i="4" s="1"/>
  <c r="J47" i="4"/>
  <c r="C76" i="4"/>
  <c r="B38" i="4"/>
  <c r="F37" i="4"/>
  <c r="J73" i="4"/>
  <c r="G76" i="4"/>
  <c r="I38" i="4"/>
  <c r="I37" i="4"/>
  <c r="J37" i="4" s="1"/>
  <c r="E38" i="3"/>
  <c r="E39" i="3" s="1"/>
  <c r="E77" i="3" s="1"/>
  <c r="E86" i="3" s="1"/>
  <c r="B38" i="3"/>
  <c r="C38" i="3"/>
  <c r="C39" i="3" s="1"/>
  <c r="D38" i="3"/>
  <c r="D39" i="3" s="1"/>
  <c r="D77" i="3" s="1"/>
  <c r="F32" i="3"/>
  <c r="F76" i="3"/>
  <c r="F74" i="3"/>
  <c r="B37" i="2"/>
  <c r="B38" i="2" s="1"/>
  <c r="J75" i="4" l="1"/>
  <c r="C85" i="4"/>
  <c r="F38" i="4"/>
  <c r="J38" i="4" s="1"/>
  <c r="B76" i="4"/>
  <c r="I76" i="4"/>
  <c r="G85" i="4"/>
  <c r="I85" i="4" s="1"/>
  <c r="D86" i="3"/>
  <c r="B39" i="3"/>
  <c r="F38" i="3"/>
  <c r="C77" i="3"/>
  <c r="C86" i="3"/>
  <c r="F39" i="3"/>
  <c r="B76" i="2"/>
  <c r="B85" i="2" s="1"/>
  <c r="F76" i="4" l="1"/>
  <c r="J76" i="4" s="1"/>
  <c r="B85" i="4"/>
  <c r="F85" i="4" s="1"/>
  <c r="B77" i="3"/>
  <c r="B86" i="3"/>
  <c r="F86" i="3" s="1"/>
  <c r="J85" i="4" l="1"/>
  <c r="F77" i="3"/>
</calcChain>
</file>

<file path=xl/sharedStrings.xml><?xml version="1.0" encoding="utf-8"?>
<sst xmlns="http://schemas.openxmlformats.org/spreadsheetml/2006/main" count="265" uniqueCount="120">
  <si>
    <t>Total</t>
  </si>
  <si>
    <t>ASSETS</t>
  </si>
  <si>
    <t xml:space="preserve">   Current Assets</t>
  </si>
  <si>
    <t xml:space="preserve">      Bank Accounts</t>
  </si>
  <si>
    <t xml:space="preserve">         1000 Cash</t>
  </si>
  <si>
    <t xml:space="preserve">            1010 Highpoint Bank-Checking x0096</t>
  </si>
  <si>
    <t xml:space="preserve">            1020 Highpoint Bank-Savings x0465</t>
  </si>
  <si>
    <t xml:space="preserve">            1025 Highpoint Bank-CD x0538</t>
  </si>
  <si>
    <t xml:space="preserve">            1030 Highpoint Bank-CD x0539</t>
  </si>
  <si>
    <t xml:space="preserve">            1040 Paypal</t>
  </si>
  <si>
    <t xml:space="preserve">            1050 Paypal - EXPO</t>
  </si>
  <si>
    <t xml:space="preserve">         Total 1000 Cash</t>
  </si>
  <si>
    <t xml:space="preserve">      Total Bank Accounts</t>
  </si>
  <si>
    <t xml:space="preserve">   Total Current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</si>
  <si>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</si>
  <si>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</si>
  <si>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</si>
  <si>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</si>
  <si>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Credit Cards</t>
  </si>
  <si>
    <t xml:space="preserve">            2100 Credit Card</t>
  </si>
  <si>
    <t xml:space="preserve">               2110 Guaranty Bank Credit Card x9081</t>
  </si>
  <si>
    <t xml:space="preserve">            Total 2100 Credit Card</t>
  </si>
  <si>
    <t xml:space="preserve">         Total Credit Cards</t>
  </si>
  <si>
    <t xml:space="preserve">      Total Current Liabilities</t>
  </si>
  <si>
    <t xml:space="preserve">   Total Liabilities</t>
  </si>
  <si>
    <t xml:space="preserve">   Equity</t>
  </si>
  <si>
    <t xml:space="preserve">      3000 Net assets without Donor Restrictions</t>
  </si>
  <si>
    <t xml:space="preserve">      Net Revenue</t>
  </si>
  <si>
    <t xml:space="preserve">   Total Equity</t>
  </si>
  <si>
    <t>TOTAL LIABILITIES AND EQUITY</t>
  </si>
  <si>
    <t>American Dexter Cattle Association</t>
  </si>
  <si>
    <t>Statement of Financial Position</t>
  </si>
  <si>
    <t>As of April 30, 2026</t>
  </si>
  <si>
    <t>Net Revenue</t>
  </si>
  <si>
    <t>Net Other Revenue</t>
  </si>
  <si>
    <t>Total Other Revenue</t>
  </si>
  <si>
    <t xml:space="preserve">   Total 9200 Investment Activity</t>
  </si>
  <si>
    <t xml:space="preserve">      9210 Interest</t>
  </si>
  <si>
    <t xml:space="preserve">   9200 Investment Activity</t>
  </si>
  <si>
    <t>Other Revenue</t>
  </si>
  <si>
    <t>Net Operating Revenue</t>
  </si>
  <si>
    <t>Total Expenditures</t>
  </si>
  <si>
    <t xml:space="preserve">   Total 8500 Other Expenses</t>
  </si>
  <si>
    <t xml:space="preserve">      8580 Business Taxes &amp; Licensing Fees</t>
  </si>
  <si>
    <t xml:space="preserve">      8570 Advertising Expenses</t>
  </si>
  <si>
    <t xml:space="preserve">      8560 Merchant Fees</t>
  </si>
  <si>
    <t xml:space="preserve">      8550 Bank Fees</t>
  </si>
  <si>
    <t xml:space="preserve">      Total 8520 Insurance - Non-employee Related</t>
  </si>
  <si>
    <t xml:space="preserve">         8522 Show/Event Liability</t>
  </si>
  <si>
    <t xml:space="preserve">         8521 Directors</t>
  </si>
  <si>
    <t xml:space="preserve">      8520 Insurance - Non-employee Related</t>
  </si>
  <si>
    <t xml:space="preserve">   8500 Other Expenses</t>
  </si>
  <si>
    <t xml:space="preserve">   Total 8400 Other Program Specific Expenses</t>
  </si>
  <si>
    <t xml:space="preserve">      8440 Fairs, Shows, Exibitions</t>
  </si>
  <si>
    <t xml:space="preserve">      8420 Pedigree &amp; Genetics</t>
  </si>
  <si>
    <t xml:space="preserve">      8410 Show &amp; Awards</t>
  </si>
  <si>
    <t xml:space="preserve">   8400 Other Program Specific Expenses</t>
  </si>
  <si>
    <t xml:space="preserve">   Total 8100 Nonpersonnel Expenses</t>
  </si>
  <si>
    <t xml:space="preserve">      8160 Printing &amp; Copying</t>
  </si>
  <si>
    <t xml:space="preserve">      8150 Software &amp; Hardware &lt; $2,000</t>
  </si>
  <si>
    <t xml:space="preserve">      8130 Postage &amp; Shipping</t>
  </si>
  <si>
    <t xml:space="preserve">      8120 Telephone &amp; Internet</t>
  </si>
  <si>
    <t xml:space="preserve">      8110 Supplies</t>
  </si>
  <si>
    <t xml:space="preserve">   8100 Nonpersonnel Expenses</t>
  </si>
  <si>
    <t xml:space="preserve">   Total 7500 Contract Service Expenses</t>
  </si>
  <si>
    <t xml:space="preserve">      7520 Accounting</t>
  </si>
  <si>
    <t xml:space="preserve">      7514 Secretary</t>
  </si>
  <si>
    <t xml:space="preserve">      7513 Registrar Assistant</t>
  </si>
  <si>
    <t xml:space="preserve">      7512 Registrar</t>
  </si>
  <si>
    <t xml:space="preserve">      7511 BBC Registeration Maint.</t>
  </si>
  <si>
    <t xml:space="preserve">   7500 Contract Service Expenses</t>
  </si>
  <si>
    <t>Expenditures</t>
  </si>
  <si>
    <t>Gross Profit</t>
  </si>
  <si>
    <t>Total Revenue</t>
  </si>
  <si>
    <t xml:space="preserve">   Total 5400 Revenue From Sales</t>
  </si>
  <si>
    <t xml:space="preserve">      5410 Non-inventory Sales</t>
  </si>
  <si>
    <t xml:space="preserve">   5400 Revenue From Sales</t>
  </si>
  <si>
    <t xml:space="preserve">   Total 5100 Program Sales &amp; Fees</t>
  </si>
  <si>
    <t xml:space="preserve">      Total 5150 Advertising Fees</t>
  </si>
  <si>
    <t xml:space="preserve">         5153 Web - Farm Listing</t>
  </si>
  <si>
    <t xml:space="preserve">         5152 Web - For Sale</t>
  </si>
  <si>
    <t xml:space="preserve">      5150 Advertising Fees</t>
  </si>
  <si>
    <t xml:space="preserve">      Total 5140 Registration Fees</t>
  </si>
  <si>
    <t xml:space="preserve">         5145 Replacement Certificate Fees</t>
  </si>
  <si>
    <t xml:space="preserve">         5144 Steer Registrations</t>
  </si>
  <si>
    <t xml:space="preserve">         5143 Bull Registrations</t>
  </si>
  <si>
    <t xml:space="preserve">         5142 Late (Cows) Registration</t>
  </si>
  <si>
    <t xml:space="preserve">         5141 Heifers Registrations</t>
  </si>
  <si>
    <t xml:space="preserve">      5140 Registration Fees</t>
  </si>
  <si>
    <t xml:space="preserve">      5132 Meal Fees</t>
  </si>
  <si>
    <t xml:space="preserve">      5131 Photo Contest Fees</t>
  </si>
  <si>
    <t xml:space="preserve">      5130 Sponsorships</t>
  </si>
  <si>
    <t xml:space="preserve">      Total 5120 Membership Fees</t>
  </si>
  <si>
    <t xml:space="preserve">         5123 Family Dues</t>
  </si>
  <si>
    <t xml:space="preserve">         5122 Individual Dues</t>
  </si>
  <si>
    <t xml:space="preserve">      5120 Membership Fees</t>
  </si>
  <si>
    <t xml:space="preserve">      5115 Animal Transfer Fees</t>
  </si>
  <si>
    <t xml:space="preserve">   5100 Program Sales &amp; Fees</t>
  </si>
  <si>
    <t xml:space="preserve">   Total 4000 Direct Contributions</t>
  </si>
  <si>
    <t xml:space="preserve">      4010 Individual Contributions</t>
  </si>
  <si>
    <t xml:space="preserve">   4000 Direct Contributions</t>
  </si>
  <si>
    <t>Revenue</t>
  </si>
  <si>
    <t>January - April, 2026</t>
  </si>
  <si>
    <t>Statement of Financial Activity</t>
  </si>
  <si>
    <t xml:space="preserve">         5124 Associate Dues</t>
  </si>
  <si>
    <t>Apr 2026</t>
  </si>
  <si>
    <t>Mar 2026</t>
  </si>
  <si>
    <t>Feb 2026</t>
  </si>
  <si>
    <t>Jan 2026</t>
  </si>
  <si>
    <t>Statement of Financial Activity by Month</t>
  </si>
  <si>
    <t>TOTAL</t>
  </si>
  <si>
    <t>Total 600 Administrative</t>
  </si>
  <si>
    <t>610 General Administrative</t>
  </si>
  <si>
    <t>600 Administrative</t>
  </si>
  <si>
    <t>Total 100 Programs</t>
  </si>
  <si>
    <t>150 Publications</t>
  </si>
  <si>
    <t>120 EXPO</t>
  </si>
  <si>
    <t>110 General Programs</t>
  </si>
  <si>
    <t>100 Programs</t>
  </si>
  <si>
    <t>Statement of Financial Activity by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</si>
</sst>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42" fontId="1" fillId="0" borderId="1" xfId="0" applyNumberFormat="1" applyFont="1" applyBorder="1" applyAlignment="1">
      <alignment horizontal="center" wrapText="1"/>
    </xf>
    <xf numFmtId="42" fontId="3" fillId="0" borderId="0" xfId="0" applyNumberFormat="1" applyFont="1" applyAlignment="1">
      <alignment horizontal="left" wrapText="1"/>
    </xf>
    <xf numFmtId="42" fontId="2" fillId="0" borderId="2" xfId="0" applyNumberFormat="1" applyFont="1" applyBorder="1" applyAlignment="1">
      <alignment horizontal="left" wrapText="1"/>
    </xf>
    <xf numFmtId="42" fontId="2" fillId="0" borderId="3" xfId="0" applyNumberFormat="1" applyFont="1" applyBorder="1" applyAlignment="1">
      <alignment horizontal="left" wrapText="1"/>
    </xf>
    <xf numFmtId="42" fontId="0" fillId="0" borderId="0" xfId="0" applyNumberFormat="1" applyAlignment="1">
      <alignment horizontal="left"/>
    </xf>
    <xf numFmtId="42" fontId="2" fillId="0" borderId="0" xfId="0" applyNumberFormat="1" applyFont="1" applyBorder="1" applyAlignment="1">
      <alignment horizontal="left" wrapText="1"/>
    </xf>
    <xf numFmtId="42" fontId="2" fillId="0" borderId="4" xfId="0" applyNumberFormat="1" applyFont="1" applyBorder="1" applyAlignment="1">
      <alignment horizontal="left" wrapText="1"/>
    </xf>
    <xf numFmtId="42" fontId="2" fillId="0" borderId="1" xfId="0" applyNumberFormat="1" applyFont="1" applyBorder="1" applyAlignment="1">
      <alignment horizontal="left" wrapText="1"/>
    </xf>
    <xf numFmtId="0" fontId="0" fillId="0" borderId="0" xfId="0" applyBorder="1"/>
    <xf numFmtId="0" fontId="2" fillId="0" borderId="0" xfId="0" applyFont="1" applyBorder="1" applyAlignment="1">
      <alignment horizontal="left" wrapText="1"/>
    </xf>
    <xf numFmtId="42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workbookViewId="0">
      <pane ySplit="5" topLeftCell="A6" activePane="bottomLeft" state="frozen"/>
      <selection pane="bottomLeft" sqref="A1:B1"/>
    </sheetView>
  </sheetViews>
  <sheetFormatPr defaultRowHeight="14.4" x14ac:dyDescent="0.3"/>
  <cols>
    <col min="1" max="1" width="40.77734375" customWidth="1"/>
    <col min="2" max="2" width="25.77734375" style="10" customWidth="1"/>
  </cols>
  <sheetData>
    <row r="1" spans="1:2" ht="17.399999999999999" x14ac:dyDescent="0.3">
      <c r="A1" s="3" t="s">
        <v>30</v>
      </c>
      <c r="B1" s="4"/>
    </row>
    <row r="2" spans="1:2" ht="17.399999999999999" x14ac:dyDescent="0.3">
      <c r="A2" s="3" t="s">
        <v>31</v>
      </c>
      <c r="B2" s="4"/>
    </row>
    <row r="3" spans="1:2" x14ac:dyDescent="0.3">
      <c r="A3" s="5" t="s">
        <v>32</v>
      </c>
      <c r="B3" s="4"/>
    </row>
    <row r="5" spans="1:2" x14ac:dyDescent="0.3">
      <c r="A5" s="1"/>
      <c r="B5" s="6" t="s">
        <v>0</v>
      </c>
    </row>
    <row r="6" spans="1:2" x14ac:dyDescent="0.3">
      <c r="A6" s="2" t="s">
        <v>1</v>
      </c>
      <c r="B6" s="7"/>
    </row>
    <row r="7" spans="1:2" x14ac:dyDescent="0.3">
      <c r="A7" s="2" t="s">
        <v>2</v>
      </c>
      <c r="B7" s="7"/>
    </row>
    <row r="8" spans="1:2" x14ac:dyDescent="0.3">
      <c r="A8" s="2" t="s">
        <v>3</v>
      </c>
      <c r="B8" s="7"/>
    </row>
    <row r="9" spans="1:2" x14ac:dyDescent="0.3">
      <c r="A9" s="2" t="s">
        <v>4</v>
      </c>
      <c r="B9" s="7"/>
    </row>
    <row r="10" spans="1:2" x14ac:dyDescent="0.3">
      <c r="A10" s="2" t="s">
        <v>5</v>
      </c>
      <c r="B10" s="7">
        <f>26813.26</f>
        <v>26813.26</v>
      </c>
    </row>
    <row r="11" spans="1:2" x14ac:dyDescent="0.3">
      <c r="A11" s="2" t="s">
        <v>6</v>
      </c>
      <c r="B11" s="7">
        <f>55566.74</f>
        <v>55566.74</v>
      </c>
    </row>
    <row r="12" spans="1:2" x14ac:dyDescent="0.3">
      <c r="A12" s="2" t="s">
        <v>7</v>
      </c>
      <c r="B12" s="7">
        <f>104901.72</f>
        <v>104901.72</v>
      </c>
    </row>
    <row r="13" spans="1:2" x14ac:dyDescent="0.3">
      <c r="A13" s="2" t="s">
        <v>8</v>
      </c>
      <c r="B13" s="7">
        <f>112745.28</f>
        <v>112745.28</v>
      </c>
    </row>
    <row r="14" spans="1:2" x14ac:dyDescent="0.3">
      <c r="A14" s="2" t="s">
        <v>9</v>
      </c>
      <c r="B14" s="7">
        <f>21145.91</f>
        <v>21145.91</v>
      </c>
    </row>
    <row r="15" spans="1:2" x14ac:dyDescent="0.3">
      <c r="A15" s="2" t="s">
        <v>10</v>
      </c>
      <c r="B15" s="7">
        <f>7763.44</f>
        <v>7763.44</v>
      </c>
    </row>
    <row r="16" spans="1:2" hidden="1" x14ac:dyDescent="0.3">
      <c r="A16" s="2" t="s">
        <v>11</v>
      </c>
      <c r="B16" s="8">
        <f>((((((B9)+(B10))+(B11))+(B12))+(B13))+(B14))+(B15)</f>
        <v>328936.34999999998</v>
      </c>
    </row>
    <row r="17" spans="1:2" x14ac:dyDescent="0.3">
      <c r="A17" s="2" t="s">
        <v>12</v>
      </c>
      <c r="B17" s="8">
        <f>B16</f>
        <v>328936.34999999998</v>
      </c>
    </row>
    <row r="18" spans="1:2" hidden="1" x14ac:dyDescent="0.3">
      <c r="A18" s="2" t="s">
        <v>13</v>
      </c>
      <c r="B18" s="8">
        <f>B17</f>
        <v>328936.34999999998</v>
      </c>
    </row>
    <row r="19" spans="1:2" x14ac:dyDescent="0.3">
      <c r="A19" s="2"/>
      <c r="B19" s="13"/>
    </row>
    <row r="20" spans="1:2" ht="15" thickBot="1" x14ac:dyDescent="0.35">
      <c r="A20" s="2" t="s">
        <v>14</v>
      </c>
      <c r="B20" s="12">
        <f>B18</f>
        <v>328936.34999999998</v>
      </c>
    </row>
    <row r="21" spans="1:2" ht="15" thickTop="1" x14ac:dyDescent="0.3">
      <c r="A21" s="2"/>
      <c r="B21" s="11"/>
    </row>
    <row r="22" spans="1:2" x14ac:dyDescent="0.3">
      <c r="A22" s="2" t="s">
        <v>15</v>
      </c>
      <c r="B22" s="7"/>
    </row>
    <row r="23" spans="1:2" x14ac:dyDescent="0.3">
      <c r="A23" s="2" t="s">
        <v>16</v>
      </c>
      <c r="B23" s="7"/>
    </row>
    <row r="24" spans="1:2" x14ac:dyDescent="0.3">
      <c r="A24" s="2" t="s">
        <v>17</v>
      </c>
      <c r="B24" s="7"/>
    </row>
    <row r="25" spans="1:2" x14ac:dyDescent="0.3">
      <c r="A25" s="2" t="s">
        <v>18</v>
      </c>
      <c r="B25" s="7"/>
    </row>
    <row r="26" spans="1:2" x14ac:dyDescent="0.3">
      <c r="A26" s="2" t="s">
        <v>19</v>
      </c>
      <c r="B26" s="7"/>
    </row>
    <row r="27" spans="1:2" x14ac:dyDescent="0.3">
      <c r="A27" s="2" t="s">
        <v>20</v>
      </c>
      <c r="B27" s="7">
        <f>664.19</f>
        <v>664.19</v>
      </c>
    </row>
    <row r="28" spans="1:2" hidden="1" x14ac:dyDescent="0.3">
      <c r="A28" s="2" t="s">
        <v>21</v>
      </c>
      <c r="B28" s="8">
        <f>(B26)+(B27)</f>
        <v>664.19</v>
      </c>
    </row>
    <row r="29" spans="1:2" hidden="1" x14ac:dyDescent="0.3">
      <c r="A29" s="2" t="s">
        <v>22</v>
      </c>
      <c r="B29" s="8">
        <f>B28</f>
        <v>664.19</v>
      </c>
    </row>
    <row r="30" spans="1:2" hidden="1" x14ac:dyDescent="0.3">
      <c r="A30" s="2" t="s">
        <v>23</v>
      </c>
      <c r="B30" s="8">
        <f>B29</f>
        <v>664.19</v>
      </c>
    </row>
    <row r="31" spans="1:2" x14ac:dyDescent="0.3">
      <c r="A31" s="2" t="s">
        <v>24</v>
      </c>
      <c r="B31" s="8">
        <f>B30</f>
        <v>664.19</v>
      </c>
    </row>
    <row r="32" spans="1:2" x14ac:dyDescent="0.3">
      <c r="A32" s="2"/>
      <c r="B32" s="11"/>
    </row>
    <row r="33" spans="1:4" x14ac:dyDescent="0.3">
      <c r="A33" s="2" t="s">
        <v>25</v>
      </c>
      <c r="B33" s="7"/>
    </row>
    <row r="34" spans="1:4" x14ac:dyDescent="0.3">
      <c r="A34" s="2" t="s">
        <v>26</v>
      </c>
      <c r="B34" s="7">
        <f>302281.46</f>
        <v>302281.46000000002</v>
      </c>
    </row>
    <row r="35" spans="1:4" x14ac:dyDescent="0.3">
      <c r="A35" s="2" t="s">
        <v>27</v>
      </c>
      <c r="B35" s="7">
        <f>25990.7</f>
        <v>25990.7</v>
      </c>
      <c r="D35" s="14"/>
    </row>
    <row r="36" spans="1:4" x14ac:dyDescent="0.3">
      <c r="A36" s="2" t="s">
        <v>28</v>
      </c>
      <c r="B36" s="8">
        <f>(B34)+(B35)</f>
        <v>328272.16000000003</v>
      </c>
    </row>
    <row r="37" spans="1:4" x14ac:dyDescent="0.3">
      <c r="A37" s="2"/>
      <c r="B37" s="13"/>
    </row>
    <row r="38" spans="1:4" ht="15" thickBot="1" x14ac:dyDescent="0.35">
      <c r="A38" s="2" t="s">
        <v>29</v>
      </c>
      <c r="B38" s="12">
        <f>(B31)+(B36)</f>
        <v>328936.35000000003</v>
      </c>
    </row>
    <row r="39" spans="1:4" ht="15" thickTop="1" x14ac:dyDescent="0.3">
      <c r="A39" s="2"/>
      <c r="B39" s="7"/>
    </row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1EED-695D-47D4-9928-444C53286268}">
  <sheetPr>
    <pageSetUpPr fitToPage="1"/>
  </sheetPr>
  <dimension ref="A1:F86"/>
  <sheetViews>
    <sheetView workbookViewId="0">
      <pane ySplit="5" topLeftCell="A6" activePane="bottomLeft" state="frozen"/>
      <selection pane="bottomLeft" sqref="A1:B1"/>
    </sheetView>
  </sheetViews>
  <sheetFormatPr defaultRowHeight="14.4" x14ac:dyDescent="0.3"/>
  <cols>
    <col min="1" max="1" width="43" customWidth="1"/>
    <col min="2" max="2" width="25.77734375" style="10" customWidth="1"/>
  </cols>
  <sheetData>
    <row r="1" spans="1:2" ht="17.399999999999999" x14ac:dyDescent="0.3">
      <c r="A1" s="3" t="s">
        <v>30</v>
      </c>
      <c r="B1" s="4"/>
    </row>
    <row r="2" spans="1:2" ht="17.399999999999999" x14ac:dyDescent="0.3">
      <c r="A2" s="3" t="s">
        <v>103</v>
      </c>
      <c r="B2" s="4"/>
    </row>
    <row r="3" spans="1:2" x14ac:dyDescent="0.3">
      <c r="A3" s="5" t="s">
        <v>102</v>
      </c>
      <c r="B3" s="4"/>
    </row>
    <row r="5" spans="1:2" x14ac:dyDescent="0.3">
      <c r="A5" s="1"/>
      <c r="B5" s="6" t="s">
        <v>0</v>
      </c>
    </row>
    <row r="6" spans="1:2" x14ac:dyDescent="0.3">
      <c r="A6" s="2" t="s">
        <v>101</v>
      </c>
      <c r="B6" s="7"/>
    </row>
    <row r="7" spans="1:2" x14ac:dyDescent="0.3">
      <c r="A7" s="2" t="s">
        <v>100</v>
      </c>
      <c r="B7" s="7"/>
    </row>
    <row r="8" spans="1:2" x14ac:dyDescent="0.3">
      <c r="A8" s="2" t="s">
        <v>99</v>
      </c>
      <c r="B8" s="7">
        <f>15</f>
        <v>15</v>
      </c>
    </row>
    <row r="9" spans="1:2" x14ac:dyDescent="0.3">
      <c r="A9" s="2" t="s">
        <v>98</v>
      </c>
      <c r="B9" s="9">
        <f>(B7)+(B8)</f>
        <v>15</v>
      </c>
    </row>
    <row r="10" spans="1:2" x14ac:dyDescent="0.3">
      <c r="A10" s="2"/>
      <c r="B10" s="11"/>
    </row>
    <row r="11" spans="1:2" x14ac:dyDescent="0.3">
      <c r="A11" s="2" t="s">
        <v>97</v>
      </c>
      <c r="B11" s="7"/>
    </row>
    <row r="12" spans="1:2" x14ac:dyDescent="0.3">
      <c r="A12" s="2" t="s">
        <v>96</v>
      </c>
      <c r="B12" s="7">
        <f>16945</f>
        <v>16945</v>
      </c>
    </row>
    <row r="13" spans="1:2" x14ac:dyDescent="0.3">
      <c r="A13" s="2" t="s">
        <v>95</v>
      </c>
      <c r="B13" s="7"/>
    </row>
    <row r="14" spans="1:2" x14ac:dyDescent="0.3">
      <c r="A14" s="2" t="s">
        <v>94</v>
      </c>
      <c r="B14" s="7">
        <f>31950</f>
        <v>31950</v>
      </c>
    </row>
    <row r="15" spans="1:2" x14ac:dyDescent="0.3">
      <c r="A15" s="2" t="s">
        <v>93</v>
      </c>
      <c r="B15" s="7">
        <f>2080</f>
        <v>2080</v>
      </c>
    </row>
    <row r="16" spans="1:2" hidden="1" x14ac:dyDescent="0.3">
      <c r="A16" s="2" t="s">
        <v>92</v>
      </c>
      <c r="B16" s="9">
        <f>((B13)+(B14))+(B15)</f>
        <v>34030</v>
      </c>
    </row>
    <row r="17" spans="1:6" x14ac:dyDescent="0.3">
      <c r="A17" s="2" t="s">
        <v>91</v>
      </c>
      <c r="B17" s="7">
        <f>6210</f>
        <v>6210</v>
      </c>
    </row>
    <row r="18" spans="1:6" x14ac:dyDescent="0.3">
      <c r="A18" s="2" t="s">
        <v>90</v>
      </c>
      <c r="B18" s="7">
        <f>115</f>
        <v>115</v>
      </c>
      <c r="F18" s="14"/>
    </row>
    <row r="19" spans="1:6" x14ac:dyDescent="0.3">
      <c r="A19" s="2" t="s">
        <v>89</v>
      </c>
      <c r="B19" s="7">
        <f>230</f>
        <v>230</v>
      </c>
    </row>
    <row r="20" spans="1:6" x14ac:dyDescent="0.3">
      <c r="A20" s="2" t="s">
        <v>88</v>
      </c>
      <c r="B20" s="7"/>
    </row>
    <row r="21" spans="1:6" x14ac:dyDescent="0.3">
      <c r="A21" s="2" t="s">
        <v>87</v>
      </c>
      <c r="B21" s="7">
        <f>13170</f>
        <v>13170</v>
      </c>
    </row>
    <row r="22" spans="1:6" x14ac:dyDescent="0.3">
      <c r="A22" s="2" t="s">
        <v>86</v>
      </c>
      <c r="B22" s="7">
        <f>2100</f>
        <v>2100</v>
      </c>
    </row>
    <row r="23" spans="1:6" x14ac:dyDescent="0.3">
      <c r="A23" s="2" t="s">
        <v>85</v>
      </c>
      <c r="B23" s="7">
        <f>9295</f>
        <v>9295</v>
      </c>
    </row>
    <row r="24" spans="1:6" x14ac:dyDescent="0.3">
      <c r="A24" s="2" t="s">
        <v>84</v>
      </c>
      <c r="B24" s="7">
        <f>255</f>
        <v>255</v>
      </c>
    </row>
    <row r="25" spans="1:6" x14ac:dyDescent="0.3">
      <c r="A25" s="2" t="s">
        <v>83</v>
      </c>
      <c r="B25" s="7">
        <f>42</f>
        <v>42</v>
      </c>
    </row>
    <row r="26" spans="1:6" hidden="1" x14ac:dyDescent="0.3">
      <c r="A26" s="2" t="s">
        <v>82</v>
      </c>
      <c r="B26" s="9">
        <f>(((((B20)+(B21))+(B22))+(B23))+(B24))+(B25)</f>
        <v>24862</v>
      </c>
    </row>
    <row r="27" spans="1:6" x14ac:dyDescent="0.3">
      <c r="A27" s="2" t="s">
        <v>81</v>
      </c>
      <c r="B27" s="7"/>
    </row>
    <row r="28" spans="1:6" x14ac:dyDescent="0.3">
      <c r="A28" s="2" t="s">
        <v>80</v>
      </c>
      <c r="B28" s="7">
        <f>570</f>
        <v>570</v>
      </c>
    </row>
    <row r="29" spans="1:6" x14ac:dyDescent="0.3">
      <c r="A29" s="2" t="s">
        <v>79</v>
      </c>
      <c r="B29" s="7">
        <f>2040</f>
        <v>2040</v>
      </c>
    </row>
    <row r="30" spans="1:6" hidden="1" x14ac:dyDescent="0.3">
      <c r="A30" s="2" t="s">
        <v>78</v>
      </c>
      <c r="B30" s="9">
        <f>((B27)+(B28))+(B29)</f>
        <v>2610</v>
      </c>
    </row>
    <row r="31" spans="1:6" x14ac:dyDescent="0.3">
      <c r="A31" s="2" t="s">
        <v>77</v>
      </c>
      <c r="B31" s="9">
        <f>(((((((B11)+(B12))+(B16))+(B17))+(B18))+(B19))+(B26))+(B30)</f>
        <v>85002</v>
      </c>
    </row>
    <row r="32" spans="1:6" x14ac:dyDescent="0.3">
      <c r="A32" s="2"/>
      <c r="B32" s="11"/>
    </row>
    <row r="33" spans="1:2" x14ac:dyDescent="0.3">
      <c r="A33" s="2" t="s">
        <v>76</v>
      </c>
      <c r="B33" s="7"/>
    </row>
    <row r="34" spans="1:2" x14ac:dyDescent="0.3">
      <c r="A34" s="2" t="s">
        <v>75</v>
      </c>
      <c r="B34" s="7">
        <f>50</f>
        <v>50</v>
      </c>
    </row>
    <row r="35" spans="1:2" x14ac:dyDescent="0.3">
      <c r="A35" s="2" t="s">
        <v>74</v>
      </c>
      <c r="B35" s="9">
        <f>(B33)+(B34)</f>
        <v>50</v>
      </c>
    </row>
    <row r="36" spans="1:2" x14ac:dyDescent="0.3">
      <c r="A36" s="2"/>
      <c r="B36" s="11"/>
    </row>
    <row r="37" spans="1:2" x14ac:dyDescent="0.3">
      <c r="A37" s="2" t="s">
        <v>73</v>
      </c>
      <c r="B37" s="9">
        <f>((B9)+(B31))+(B35)</f>
        <v>85067</v>
      </c>
    </row>
    <row r="38" spans="1:2" hidden="1" x14ac:dyDescent="0.3">
      <c r="A38" s="2" t="s">
        <v>72</v>
      </c>
      <c r="B38" s="9">
        <f>(B37)-(0)</f>
        <v>85067</v>
      </c>
    </row>
    <row r="39" spans="1:2" x14ac:dyDescent="0.3">
      <c r="A39" s="2"/>
      <c r="B39" s="11"/>
    </row>
    <row r="40" spans="1:2" x14ac:dyDescent="0.3">
      <c r="A40" s="2" t="s">
        <v>71</v>
      </c>
      <c r="B40" s="7"/>
    </row>
    <row r="41" spans="1:2" x14ac:dyDescent="0.3">
      <c r="A41" s="2" t="s">
        <v>70</v>
      </c>
      <c r="B41" s="7"/>
    </row>
    <row r="42" spans="1:2" x14ac:dyDescent="0.3">
      <c r="A42" s="2" t="s">
        <v>69</v>
      </c>
      <c r="B42" s="7">
        <f>1200</f>
        <v>1200</v>
      </c>
    </row>
    <row r="43" spans="1:2" x14ac:dyDescent="0.3">
      <c r="A43" s="2" t="s">
        <v>68</v>
      </c>
      <c r="B43" s="7">
        <f>15252</f>
        <v>15252</v>
      </c>
    </row>
    <row r="44" spans="1:2" x14ac:dyDescent="0.3">
      <c r="A44" s="2" t="s">
        <v>67</v>
      </c>
      <c r="B44" s="7">
        <f>4096</f>
        <v>4096</v>
      </c>
    </row>
    <row r="45" spans="1:2" x14ac:dyDescent="0.3">
      <c r="A45" s="2" t="s">
        <v>66</v>
      </c>
      <c r="B45" s="7">
        <f>5472</f>
        <v>5472</v>
      </c>
    </row>
    <row r="46" spans="1:2" x14ac:dyDescent="0.3">
      <c r="A46" s="2" t="s">
        <v>65</v>
      </c>
      <c r="B46" s="7">
        <f>3740</f>
        <v>3740</v>
      </c>
    </row>
    <row r="47" spans="1:2" x14ac:dyDescent="0.3">
      <c r="A47" s="2" t="s">
        <v>64</v>
      </c>
      <c r="B47" s="9">
        <f>(((((B41)+(B42))+(B43))+(B44))+(B45))+(B46)</f>
        <v>29760</v>
      </c>
    </row>
    <row r="48" spans="1:2" x14ac:dyDescent="0.3">
      <c r="A48" s="2"/>
      <c r="B48" s="11"/>
    </row>
    <row r="49" spans="1:2" x14ac:dyDescent="0.3">
      <c r="A49" s="2" t="s">
        <v>63</v>
      </c>
      <c r="B49" s="7"/>
    </row>
    <row r="50" spans="1:2" x14ac:dyDescent="0.3">
      <c r="A50" s="2" t="s">
        <v>62</v>
      </c>
      <c r="B50" s="7">
        <f>1435.09</f>
        <v>1435.09</v>
      </c>
    </row>
    <row r="51" spans="1:2" x14ac:dyDescent="0.3">
      <c r="A51" s="2" t="s">
        <v>61</v>
      </c>
      <c r="B51" s="7">
        <f>1249.91</f>
        <v>1249.9100000000001</v>
      </c>
    </row>
    <row r="52" spans="1:2" x14ac:dyDescent="0.3">
      <c r="A52" s="2" t="s">
        <v>60</v>
      </c>
      <c r="B52" s="7">
        <f>1607.75</f>
        <v>1607.75</v>
      </c>
    </row>
    <row r="53" spans="1:2" x14ac:dyDescent="0.3">
      <c r="A53" s="2" t="s">
        <v>59</v>
      </c>
      <c r="B53" s="7">
        <f>3137.1</f>
        <v>3137.1</v>
      </c>
    </row>
    <row r="54" spans="1:2" x14ac:dyDescent="0.3">
      <c r="A54" s="2" t="s">
        <v>58</v>
      </c>
      <c r="B54" s="7">
        <f>6468.91</f>
        <v>6468.91</v>
      </c>
    </row>
    <row r="55" spans="1:2" x14ac:dyDescent="0.3">
      <c r="A55" s="2" t="s">
        <v>57</v>
      </c>
      <c r="B55" s="9">
        <f>(((((B49)+(B50))+(B51))+(B52))+(B53))+(B54)</f>
        <v>13898.76</v>
      </c>
    </row>
    <row r="56" spans="1:2" x14ac:dyDescent="0.3">
      <c r="A56" s="2"/>
      <c r="B56" s="11"/>
    </row>
    <row r="57" spans="1:2" x14ac:dyDescent="0.3">
      <c r="A57" s="2" t="s">
        <v>56</v>
      </c>
      <c r="B57" s="7"/>
    </row>
    <row r="58" spans="1:2" x14ac:dyDescent="0.3">
      <c r="A58" s="2" t="s">
        <v>55</v>
      </c>
      <c r="B58" s="7">
        <f>2217.44</f>
        <v>2217.44</v>
      </c>
    </row>
    <row r="59" spans="1:2" x14ac:dyDescent="0.3">
      <c r="A59" s="2" t="s">
        <v>54</v>
      </c>
      <c r="B59" s="7">
        <f>44</f>
        <v>44</v>
      </c>
    </row>
    <row r="60" spans="1:2" x14ac:dyDescent="0.3">
      <c r="A60" s="2" t="s">
        <v>53</v>
      </c>
      <c r="B60" s="7">
        <f>2500</f>
        <v>2500</v>
      </c>
    </row>
    <row r="61" spans="1:2" x14ac:dyDescent="0.3">
      <c r="A61" s="2" t="s">
        <v>52</v>
      </c>
      <c r="B61" s="9">
        <f>(((B57)+(B58))+(B59))+(B60)</f>
        <v>4761.4400000000005</v>
      </c>
    </row>
    <row r="62" spans="1:2" x14ac:dyDescent="0.3">
      <c r="A62" s="2"/>
      <c r="B62" s="11"/>
    </row>
    <row r="63" spans="1:2" x14ac:dyDescent="0.3">
      <c r="A63" s="2" t="s">
        <v>51</v>
      </c>
      <c r="B63" s="7"/>
    </row>
    <row r="64" spans="1:2" x14ac:dyDescent="0.3">
      <c r="A64" s="2" t="s">
        <v>50</v>
      </c>
      <c r="B64" s="7"/>
    </row>
    <row r="65" spans="1:2" x14ac:dyDescent="0.3">
      <c r="A65" s="2" t="s">
        <v>49</v>
      </c>
      <c r="B65" s="7">
        <f>2129</f>
        <v>2129</v>
      </c>
    </row>
    <row r="66" spans="1:2" x14ac:dyDescent="0.3">
      <c r="A66" s="2" t="s">
        <v>48</v>
      </c>
      <c r="B66" s="7">
        <f>3295</f>
        <v>3295</v>
      </c>
    </row>
    <row r="67" spans="1:2" x14ac:dyDescent="0.3">
      <c r="A67" s="2" t="s">
        <v>47</v>
      </c>
      <c r="B67" s="9">
        <f>((B64)+(B65))+(B66)</f>
        <v>5424</v>
      </c>
    </row>
    <row r="68" spans="1:2" x14ac:dyDescent="0.3">
      <c r="A68" s="2"/>
      <c r="B68" s="11"/>
    </row>
    <row r="69" spans="1:2" x14ac:dyDescent="0.3">
      <c r="A69" s="2" t="s">
        <v>46</v>
      </c>
      <c r="B69" s="7">
        <f>83.39</f>
        <v>83.39</v>
      </c>
    </row>
    <row r="70" spans="1:2" x14ac:dyDescent="0.3">
      <c r="A70" s="2" t="s">
        <v>45</v>
      </c>
      <c r="B70" s="7">
        <f>3802.16</f>
        <v>3802.16</v>
      </c>
    </row>
    <row r="71" spans="1:2" x14ac:dyDescent="0.3">
      <c r="A71" s="2" t="s">
        <v>44</v>
      </c>
      <c r="B71" s="7">
        <f>2904</f>
        <v>2904</v>
      </c>
    </row>
    <row r="72" spans="1:2" x14ac:dyDescent="0.3">
      <c r="A72" s="2" t="s">
        <v>43</v>
      </c>
      <c r="B72" s="7">
        <f>405</f>
        <v>405</v>
      </c>
    </row>
    <row r="73" spans="1:2" x14ac:dyDescent="0.3">
      <c r="A73" s="2" t="s">
        <v>42</v>
      </c>
      <c r="B73" s="9">
        <f>(((((B63)+(B67))+(B69))+(B70))+(B71))+(B72)</f>
        <v>12618.55</v>
      </c>
    </row>
    <row r="74" spans="1:2" x14ac:dyDescent="0.3">
      <c r="A74" s="2"/>
      <c r="B74" s="11"/>
    </row>
    <row r="75" spans="1:2" x14ac:dyDescent="0.3">
      <c r="A75" s="2" t="s">
        <v>41</v>
      </c>
      <c r="B75" s="9">
        <f>(((B47)+(B55))+(B61))+(B73)</f>
        <v>61038.75</v>
      </c>
    </row>
    <row r="76" spans="1:2" hidden="1" x14ac:dyDescent="0.3">
      <c r="A76" s="2" t="s">
        <v>40</v>
      </c>
      <c r="B76" s="9">
        <f>(B38)-(B75)</f>
        <v>24028.25</v>
      </c>
    </row>
    <row r="77" spans="1:2" x14ac:dyDescent="0.3">
      <c r="A77" s="2"/>
      <c r="B77" s="11"/>
    </row>
    <row r="78" spans="1:2" x14ac:dyDescent="0.3">
      <c r="A78" s="2" t="s">
        <v>39</v>
      </c>
      <c r="B78" s="7"/>
    </row>
    <row r="79" spans="1:2" x14ac:dyDescent="0.3">
      <c r="A79" s="2" t="s">
        <v>38</v>
      </c>
      <c r="B79" s="7"/>
    </row>
    <row r="80" spans="1:2" x14ac:dyDescent="0.3">
      <c r="A80" s="2" t="s">
        <v>37</v>
      </c>
      <c r="B80" s="7">
        <f>1962.45</f>
        <v>1962.45</v>
      </c>
    </row>
    <row r="81" spans="1:2" hidden="1" x14ac:dyDescent="0.3">
      <c r="A81" s="2" t="s">
        <v>36</v>
      </c>
      <c r="B81" s="9">
        <f>(B79)+(B80)</f>
        <v>1962.45</v>
      </c>
    </row>
    <row r="82" spans="1:2" hidden="1" x14ac:dyDescent="0.3">
      <c r="A82" s="2" t="s">
        <v>35</v>
      </c>
      <c r="B82" s="9">
        <f>B81</f>
        <v>1962.45</v>
      </c>
    </row>
    <row r="83" spans="1:2" x14ac:dyDescent="0.3">
      <c r="A83" s="2" t="s">
        <v>34</v>
      </c>
      <c r="B83" s="9">
        <f>(B82)-(0)</f>
        <v>1962.45</v>
      </c>
    </row>
    <row r="84" spans="1:2" x14ac:dyDescent="0.3">
      <c r="A84" s="2"/>
      <c r="B84" s="13"/>
    </row>
    <row r="85" spans="1:2" ht="15" thickBot="1" x14ac:dyDescent="0.35">
      <c r="A85" s="2" t="s">
        <v>33</v>
      </c>
      <c r="B85" s="12">
        <f>(B76)+(B83)</f>
        <v>25990.7</v>
      </c>
    </row>
    <row r="86" spans="1:2" ht="15" thickTop="1" x14ac:dyDescent="0.3">
      <c r="A86" s="2"/>
      <c r="B86" s="7"/>
    </row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fitToHeight="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21F9-26CE-4864-BBCD-3447E25B7829}">
  <dimension ref="A1:K8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J1"/>
    </sheetView>
  </sheetViews>
  <sheetFormatPr defaultRowHeight="14.4" x14ac:dyDescent="0.3"/>
  <cols>
    <col min="1" max="1" width="43" customWidth="1"/>
    <col min="2" max="10" width="12.77734375" style="10" customWidth="1"/>
  </cols>
  <sheetData>
    <row r="1" spans="1:10" ht="17.399999999999999" x14ac:dyDescent="0.3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</row>
    <row r="2" spans="1:10" ht="17.399999999999999" x14ac:dyDescent="0.3">
      <c r="A2" s="3" t="s">
        <v>119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5" t="s">
        <v>102</v>
      </c>
      <c r="B3" s="4"/>
      <c r="C3" s="4"/>
      <c r="D3" s="4"/>
      <c r="E3" s="4"/>
      <c r="F3" s="4"/>
      <c r="G3" s="4"/>
      <c r="H3" s="4"/>
      <c r="I3" s="4"/>
      <c r="J3" s="4"/>
    </row>
    <row r="5" spans="1:10" ht="24.6" x14ac:dyDescent="0.3">
      <c r="A5" s="1"/>
      <c r="B5" s="6" t="s">
        <v>118</v>
      </c>
      <c r="C5" s="6" t="s">
        <v>117</v>
      </c>
      <c r="D5" s="6" t="s">
        <v>116</v>
      </c>
      <c r="E5" s="6" t="s">
        <v>115</v>
      </c>
      <c r="F5" s="6" t="s">
        <v>114</v>
      </c>
      <c r="G5" s="6" t="s">
        <v>113</v>
      </c>
      <c r="H5" s="6" t="s">
        <v>112</v>
      </c>
      <c r="I5" s="6" t="s">
        <v>111</v>
      </c>
      <c r="J5" s="6" t="s">
        <v>110</v>
      </c>
    </row>
    <row r="6" spans="1:10" x14ac:dyDescent="0.3">
      <c r="A6" s="2" t="s">
        <v>101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">
      <c r="A7" s="2" t="s">
        <v>100</v>
      </c>
      <c r="B7" s="7"/>
      <c r="C7" s="7"/>
      <c r="D7" s="7"/>
      <c r="E7" s="7"/>
      <c r="F7" s="7">
        <f>(((B7)+(C7))+(D7))+(E7)</f>
        <v>0</v>
      </c>
      <c r="G7" s="7"/>
      <c r="H7" s="7"/>
      <c r="I7" s="7">
        <f>(G7)+(H7)</f>
        <v>0</v>
      </c>
      <c r="J7" s="7">
        <f>(F7)+(I7)</f>
        <v>0</v>
      </c>
    </row>
    <row r="8" spans="1:10" x14ac:dyDescent="0.3">
      <c r="A8" s="2" t="s">
        <v>99</v>
      </c>
      <c r="B8" s="7"/>
      <c r="C8" s="7">
        <f>15</f>
        <v>15</v>
      </c>
      <c r="D8" s="7"/>
      <c r="E8" s="7"/>
      <c r="F8" s="7">
        <f>(((B8)+(C8))+(D8))+(E8)</f>
        <v>15</v>
      </c>
      <c r="G8" s="7"/>
      <c r="H8" s="7"/>
      <c r="I8" s="7">
        <f>(G8)+(H8)</f>
        <v>0</v>
      </c>
      <c r="J8" s="7">
        <f>(F8)+(I8)</f>
        <v>15</v>
      </c>
    </row>
    <row r="9" spans="1:10" x14ac:dyDescent="0.3">
      <c r="A9" s="2" t="s">
        <v>98</v>
      </c>
      <c r="B9" s="9">
        <f>(B7)+(B8)</f>
        <v>0</v>
      </c>
      <c r="C9" s="9">
        <f>(C7)+(C8)</f>
        <v>15</v>
      </c>
      <c r="D9" s="9">
        <f>(D7)+(D8)</f>
        <v>0</v>
      </c>
      <c r="E9" s="9">
        <f>(E7)+(E8)</f>
        <v>0</v>
      </c>
      <c r="F9" s="9">
        <f>(((B9)+(C9))+(D9))+(E9)</f>
        <v>15</v>
      </c>
      <c r="G9" s="9">
        <f>(G7)+(G8)</f>
        <v>0</v>
      </c>
      <c r="H9" s="9">
        <f>(H7)+(H8)</f>
        <v>0</v>
      </c>
      <c r="I9" s="9">
        <f>(G9)+(H9)</f>
        <v>0</v>
      </c>
      <c r="J9" s="9">
        <f>(F9)+(I9)</f>
        <v>15</v>
      </c>
    </row>
    <row r="10" spans="1:10" x14ac:dyDescent="0.3">
      <c r="A10" s="2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3">
      <c r="A11" s="2" t="s">
        <v>97</v>
      </c>
      <c r="B11" s="7"/>
      <c r="C11" s="7"/>
      <c r="D11" s="7"/>
      <c r="E11" s="7"/>
      <c r="F11" s="7">
        <f>(((B11)+(C11))+(D11))+(E11)</f>
        <v>0</v>
      </c>
      <c r="G11" s="7"/>
      <c r="H11" s="7"/>
      <c r="I11" s="7">
        <f>(G11)+(H11)</f>
        <v>0</v>
      </c>
      <c r="J11" s="7">
        <f>(F11)+(I11)</f>
        <v>0</v>
      </c>
    </row>
    <row r="12" spans="1:10" x14ac:dyDescent="0.3">
      <c r="A12" s="2" t="s">
        <v>96</v>
      </c>
      <c r="B12" s="7"/>
      <c r="C12" s="7">
        <f>16945</f>
        <v>16945</v>
      </c>
      <c r="D12" s="7"/>
      <c r="E12" s="7"/>
      <c r="F12" s="7">
        <f>(((B12)+(C12))+(D12))+(E12)</f>
        <v>16945</v>
      </c>
      <c r="G12" s="7"/>
      <c r="H12" s="7"/>
      <c r="I12" s="7">
        <f>(G12)+(H12)</f>
        <v>0</v>
      </c>
      <c r="J12" s="7">
        <f>(F12)+(I12)</f>
        <v>16945</v>
      </c>
    </row>
    <row r="13" spans="1:10" x14ac:dyDescent="0.3">
      <c r="A13" s="2" t="s">
        <v>95</v>
      </c>
      <c r="B13" s="7"/>
      <c r="C13" s="7"/>
      <c r="D13" s="7"/>
      <c r="E13" s="7"/>
      <c r="F13" s="7">
        <f>(((B13)+(C13))+(D13))+(E13)</f>
        <v>0</v>
      </c>
      <c r="G13" s="7"/>
      <c r="H13" s="7"/>
      <c r="I13" s="7">
        <f>(G13)+(H13)</f>
        <v>0</v>
      </c>
      <c r="J13" s="7">
        <f>(F13)+(I13)</f>
        <v>0</v>
      </c>
    </row>
    <row r="14" spans="1:10" x14ac:dyDescent="0.3">
      <c r="A14" s="2" t="s">
        <v>94</v>
      </c>
      <c r="B14" s="7"/>
      <c r="C14" s="7">
        <f>31950</f>
        <v>31950</v>
      </c>
      <c r="D14" s="7"/>
      <c r="E14" s="7"/>
      <c r="F14" s="7">
        <f>(((B14)+(C14))+(D14))+(E14)</f>
        <v>31950</v>
      </c>
      <c r="G14" s="7"/>
      <c r="H14" s="7"/>
      <c r="I14" s="7">
        <f>(G14)+(H14)</f>
        <v>0</v>
      </c>
      <c r="J14" s="7">
        <f>(F14)+(I14)</f>
        <v>31950</v>
      </c>
    </row>
    <row r="15" spans="1:10" x14ac:dyDescent="0.3">
      <c r="A15" s="2" t="s">
        <v>93</v>
      </c>
      <c r="B15" s="7"/>
      <c r="C15" s="7">
        <f>2080</f>
        <v>2080</v>
      </c>
      <c r="D15" s="7"/>
      <c r="E15" s="7"/>
      <c r="F15" s="7">
        <f>(((B15)+(C15))+(D15))+(E15)</f>
        <v>2080</v>
      </c>
      <c r="G15" s="7"/>
      <c r="H15" s="7"/>
      <c r="I15" s="7">
        <f>(G15)+(H15)</f>
        <v>0</v>
      </c>
      <c r="J15" s="7">
        <f>(F15)+(I15)</f>
        <v>2080</v>
      </c>
    </row>
    <row r="16" spans="1:10" hidden="1" x14ac:dyDescent="0.3">
      <c r="A16" s="2" t="s">
        <v>92</v>
      </c>
      <c r="B16" s="9">
        <f>((B13)+(B14))+(B15)</f>
        <v>0</v>
      </c>
      <c r="C16" s="9">
        <f>((C13)+(C14))+(C15)</f>
        <v>34030</v>
      </c>
      <c r="D16" s="9">
        <f>((D13)+(D14))+(D15)</f>
        <v>0</v>
      </c>
      <c r="E16" s="9">
        <f>((E13)+(E14))+(E15)</f>
        <v>0</v>
      </c>
      <c r="F16" s="9">
        <f>(((B16)+(C16))+(D16))+(E16)</f>
        <v>34030</v>
      </c>
      <c r="G16" s="9">
        <f>((G13)+(G14))+(G15)</f>
        <v>0</v>
      </c>
      <c r="H16" s="9">
        <f>((H13)+(H14))+(H15)</f>
        <v>0</v>
      </c>
      <c r="I16" s="9">
        <f>(G16)+(H16)</f>
        <v>0</v>
      </c>
      <c r="J16" s="9">
        <f>(F16)+(I16)</f>
        <v>34030</v>
      </c>
    </row>
    <row r="17" spans="1:10" x14ac:dyDescent="0.3">
      <c r="A17" s="2" t="s">
        <v>91</v>
      </c>
      <c r="B17" s="7"/>
      <c r="C17" s="7"/>
      <c r="D17" s="7">
        <f>6210</f>
        <v>6210</v>
      </c>
      <c r="E17" s="7"/>
      <c r="F17" s="7">
        <f>(((B17)+(C17))+(D17))+(E17)</f>
        <v>6210</v>
      </c>
      <c r="G17" s="7"/>
      <c r="H17" s="7"/>
      <c r="I17" s="7">
        <f>(G17)+(H17)</f>
        <v>0</v>
      </c>
      <c r="J17" s="7">
        <f>(F17)+(I17)</f>
        <v>6210</v>
      </c>
    </row>
    <row r="18" spans="1:10" x14ac:dyDescent="0.3">
      <c r="A18" s="2" t="s">
        <v>90</v>
      </c>
      <c r="B18" s="7"/>
      <c r="C18" s="7"/>
      <c r="D18" s="7">
        <f>115</f>
        <v>115</v>
      </c>
      <c r="E18" s="7"/>
      <c r="F18" s="7">
        <f>(((B18)+(C18))+(D18))+(E18)</f>
        <v>115</v>
      </c>
      <c r="G18" s="7"/>
      <c r="H18" s="7"/>
      <c r="I18" s="7">
        <f>(G18)+(H18)</f>
        <v>0</v>
      </c>
      <c r="J18" s="7">
        <f>(F18)+(I18)</f>
        <v>115</v>
      </c>
    </row>
    <row r="19" spans="1:10" x14ac:dyDescent="0.3">
      <c r="A19" s="2" t="s">
        <v>89</v>
      </c>
      <c r="B19" s="7"/>
      <c r="C19" s="7"/>
      <c r="D19" s="7">
        <f>230</f>
        <v>230</v>
      </c>
      <c r="E19" s="7"/>
      <c r="F19" s="7">
        <f>(((B19)+(C19))+(D19))+(E19)</f>
        <v>230</v>
      </c>
      <c r="G19" s="7"/>
      <c r="H19" s="7"/>
      <c r="I19" s="7">
        <f>(G19)+(H19)</f>
        <v>0</v>
      </c>
      <c r="J19" s="7">
        <f>(F19)+(I19)</f>
        <v>230</v>
      </c>
    </row>
    <row r="20" spans="1:10" x14ac:dyDescent="0.3">
      <c r="A20" s="2" t="s">
        <v>88</v>
      </c>
      <c r="B20" s="7"/>
      <c r="C20" s="7"/>
      <c r="D20" s="7"/>
      <c r="E20" s="7"/>
      <c r="F20" s="7">
        <f>(((B20)+(C20))+(D20))+(E20)</f>
        <v>0</v>
      </c>
      <c r="G20" s="7"/>
      <c r="H20" s="7"/>
      <c r="I20" s="7">
        <f>(G20)+(H20)</f>
        <v>0</v>
      </c>
      <c r="J20" s="7">
        <f>(F20)+(I20)</f>
        <v>0</v>
      </c>
    </row>
    <row r="21" spans="1:10" x14ac:dyDescent="0.3">
      <c r="A21" s="2" t="s">
        <v>87</v>
      </c>
      <c r="B21" s="7"/>
      <c r="C21" s="7">
        <f>13170</f>
        <v>13170</v>
      </c>
      <c r="D21" s="7"/>
      <c r="E21" s="7"/>
      <c r="F21" s="7">
        <f>(((B21)+(C21))+(D21))+(E21)</f>
        <v>13170</v>
      </c>
      <c r="G21" s="7"/>
      <c r="H21" s="7"/>
      <c r="I21" s="7">
        <f>(G21)+(H21)</f>
        <v>0</v>
      </c>
      <c r="J21" s="7">
        <f>(F21)+(I21)</f>
        <v>13170</v>
      </c>
    </row>
    <row r="22" spans="1:10" x14ac:dyDescent="0.3">
      <c r="A22" s="2" t="s">
        <v>86</v>
      </c>
      <c r="B22" s="7"/>
      <c r="C22" s="7">
        <f>2100</f>
        <v>2100</v>
      </c>
      <c r="D22" s="7"/>
      <c r="E22" s="7"/>
      <c r="F22" s="7">
        <f>(((B22)+(C22))+(D22))+(E22)</f>
        <v>2100</v>
      </c>
      <c r="G22" s="7"/>
      <c r="H22" s="7"/>
      <c r="I22" s="7">
        <f>(G22)+(H22)</f>
        <v>0</v>
      </c>
      <c r="J22" s="7">
        <f>(F22)+(I22)</f>
        <v>2100</v>
      </c>
    </row>
    <row r="23" spans="1:10" x14ac:dyDescent="0.3">
      <c r="A23" s="2" t="s">
        <v>85</v>
      </c>
      <c r="B23" s="7"/>
      <c r="C23" s="7">
        <f>9295</f>
        <v>9295</v>
      </c>
      <c r="D23" s="7"/>
      <c r="E23" s="7"/>
      <c r="F23" s="7">
        <f>(((B23)+(C23))+(D23))+(E23)</f>
        <v>9295</v>
      </c>
      <c r="G23" s="7"/>
      <c r="H23" s="7"/>
      <c r="I23" s="7">
        <f>(G23)+(H23)</f>
        <v>0</v>
      </c>
      <c r="J23" s="7">
        <f>(F23)+(I23)</f>
        <v>9295</v>
      </c>
    </row>
    <row r="24" spans="1:10" x14ac:dyDescent="0.3">
      <c r="A24" s="2" t="s">
        <v>84</v>
      </c>
      <c r="B24" s="7"/>
      <c r="C24" s="7">
        <f>255</f>
        <v>255</v>
      </c>
      <c r="D24" s="7"/>
      <c r="E24" s="7"/>
      <c r="F24" s="7">
        <f>(((B24)+(C24))+(D24))+(E24)</f>
        <v>255</v>
      </c>
      <c r="G24" s="7"/>
      <c r="H24" s="7"/>
      <c r="I24" s="7">
        <f>(G24)+(H24)</f>
        <v>0</v>
      </c>
      <c r="J24" s="7">
        <f>(F24)+(I24)</f>
        <v>255</v>
      </c>
    </row>
    <row r="25" spans="1:10" x14ac:dyDescent="0.3">
      <c r="A25" s="2" t="s">
        <v>83</v>
      </c>
      <c r="B25" s="7"/>
      <c r="C25" s="7">
        <f>42</f>
        <v>42</v>
      </c>
      <c r="D25" s="7"/>
      <c r="E25" s="7"/>
      <c r="F25" s="7">
        <f>(((B25)+(C25))+(D25))+(E25)</f>
        <v>42</v>
      </c>
      <c r="G25" s="7"/>
      <c r="H25" s="7"/>
      <c r="I25" s="7">
        <f>(G25)+(H25)</f>
        <v>0</v>
      </c>
      <c r="J25" s="7">
        <f>(F25)+(I25)</f>
        <v>42</v>
      </c>
    </row>
    <row r="26" spans="1:10" hidden="1" x14ac:dyDescent="0.3">
      <c r="A26" s="2" t="s">
        <v>82</v>
      </c>
      <c r="B26" s="9">
        <f>(((((B20)+(B21))+(B22))+(B23))+(B24))+(B25)</f>
        <v>0</v>
      </c>
      <c r="C26" s="9">
        <f>(((((C20)+(C21))+(C22))+(C23))+(C24))+(C25)</f>
        <v>24862</v>
      </c>
      <c r="D26" s="9">
        <f>(((((D20)+(D21))+(D22))+(D23))+(D24))+(D25)</f>
        <v>0</v>
      </c>
      <c r="E26" s="9">
        <f>(((((E20)+(E21))+(E22))+(E23))+(E24))+(E25)</f>
        <v>0</v>
      </c>
      <c r="F26" s="9">
        <f>(((B26)+(C26))+(D26))+(E26)</f>
        <v>24862</v>
      </c>
      <c r="G26" s="9">
        <f>(((((G20)+(G21))+(G22))+(G23))+(G24))+(G25)</f>
        <v>0</v>
      </c>
      <c r="H26" s="9">
        <f>(((((H20)+(H21))+(H22))+(H23))+(H24))+(H25)</f>
        <v>0</v>
      </c>
      <c r="I26" s="9">
        <f>(G26)+(H26)</f>
        <v>0</v>
      </c>
      <c r="J26" s="9">
        <f>(F26)+(I26)</f>
        <v>24862</v>
      </c>
    </row>
    <row r="27" spans="1:10" x14ac:dyDescent="0.3">
      <c r="A27" s="2" t="s">
        <v>81</v>
      </c>
      <c r="B27" s="7"/>
      <c r="C27" s="7"/>
      <c r="D27" s="7"/>
      <c r="E27" s="7"/>
      <c r="F27" s="7">
        <f>(((B27)+(C27))+(D27))+(E27)</f>
        <v>0</v>
      </c>
      <c r="G27" s="7"/>
      <c r="H27" s="7"/>
      <c r="I27" s="7">
        <f>(G27)+(H27)</f>
        <v>0</v>
      </c>
      <c r="J27" s="7">
        <f>(F27)+(I27)</f>
        <v>0</v>
      </c>
    </row>
    <row r="28" spans="1:10" x14ac:dyDescent="0.3">
      <c r="A28" s="2" t="s">
        <v>80</v>
      </c>
      <c r="B28" s="7"/>
      <c r="C28" s="7">
        <f>570</f>
        <v>570</v>
      </c>
      <c r="D28" s="7"/>
      <c r="E28" s="7"/>
      <c r="F28" s="7">
        <f>(((B28)+(C28))+(D28))+(E28)</f>
        <v>570</v>
      </c>
      <c r="G28" s="7"/>
      <c r="H28" s="7"/>
      <c r="I28" s="7">
        <f>(G28)+(H28)</f>
        <v>0</v>
      </c>
      <c r="J28" s="7">
        <f>(F28)+(I28)</f>
        <v>570</v>
      </c>
    </row>
    <row r="29" spans="1:10" x14ac:dyDescent="0.3">
      <c r="A29" s="2" t="s">
        <v>79</v>
      </c>
      <c r="B29" s="7"/>
      <c r="C29" s="7">
        <f>2040</f>
        <v>2040</v>
      </c>
      <c r="D29" s="7"/>
      <c r="E29" s="7"/>
      <c r="F29" s="7">
        <f>(((B29)+(C29))+(D29))+(E29)</f>
        <v>2040</v>
      </c>
      <c r="G29" s="7"/>
      <c r="H29" s="7"/>
      <c r="I29" s="7">
        <f>(G29)+(H29)</f>
        <v>0</v>
      </c>
      <c r="J29" s="7">
        <f>(F29)+(I29)</f>
        <v>2040</v>
      </c>
    </row>
    <row r="30" spans="1:10" hidden="1" x14ac:dyDescent="0.3">
      <c r="A30" s="2" t="s">
        <v>78</v>
      </c>
      <c r="B30" s="9">
        <f>((B27)+(B28))+(B29)</f>
        <v>0</v>
      </c>
      <c r="C30" s="9">
        <f>((C27)+(C28))+(C29)</f>
        <v>2610</v>
      </c>
      <c r="D30" s="9">
        <f>((D27)+(D28))+(D29)</f>
        <v>0</v>
      </c>
      <c r="E30" s="9">
        <f>((E27)+(E28))+(E29)</f>
        <v>0</v>
      </c>
      <c r="F30" s="9">
        <f>(((B30)+(C30))+(D30))+(E30)</f>
        <v>2610</v>
      </c>
      <c r="G30" s="9">
        <f>((G27)+(G28))+(G29)</f>
        <v>0</v>
      </c>
      <c r="H30" s="9">
        <f>((H27)+(H28))+(H29)</f>
        <v>0</v>
      </c>
      <c r="I30" s="9">
        <f>(G30)+(H30)</f>
        <v>0</v>
      </c>
      <c r="J30" s="9">
        <f>(F30)+(I30)</f>
        <v>2610</v>
      </c>
    </row>
    <row r="31" spans="1:10" x14ac:dyDescent="0.3">
      <c r="A31" s="2" t="s">
        <v>77</v>
      </c>
      <c r="B31" s="9">
        <f>(((((((B11)+(B12))+(B16))+(B17))+(B18))+(B19))+(B26))+(B30)</f>
        <v>0</v>
      </c>
      <c r="C31" s="9">
        <f>(((((((C11)+(C12))+(C16))+(C17))+(C18))+(C19))+(C26))+(C30)</f>
        <v>78447</v>
      </c>
      <c r="D31" s="9">
        <f>(((((((D11)+(D12))+(D16))+(D17))+(D18))+(D19))+(D26))+(D30)</f>
        <v>6555</v>
      </c>
      <c r="E31" s="9">
        <f>(((((((E11)+(E12))+(E16))+(E17))+(E18))+(E19))+(E26))+(E30)</f>
        <v>0</v>
      </c>
      <c r="F31" s="9">
        <f>(((B31)+(C31))+(D31))+(E31)</f>
        <v>85002</v>
      </c>
      <c r="G31" s="9">
        <f>(((((((G11)+(G12))+(G16))+(G17))+(G18))+(G19))+(G26))+(G30)</f>
        <v>0</v>
      </c>
      <c r="H31" s="9">
        <f>(((((((H11)+(H12))+(H16))+(H17))+(H18))+(H19))+(H26))+(H30)</f>
        <v>0</v>
      </c>
      <c r="I31" s="9">
        <f>(G31)+(H31)</f>
        <v>0</v>
      </c>
      <c r="J31" s="9">
        <f>(F31)+(I31)</f>
        <v>85002</v>
      </c>
    </row>
    <row r="32" spans="1:10" x14ac:dyDescent="0.3">
      <c r="A32" s="2"/>
      <c r="B32" s="11"/>
      <c r="C32" s="11"/>
      <c r="D32" s="11"/>
      <c r="E32" s="11"/>
      <c r="F32" s="11"/>
      <c r="G32" s="11"/>
      <c r="H32" s="11"/>
      <c r="I32" s="11"/>
      <c r="J32" s="11"/>
    </row>
    <row r="33" spans="1:11" x14ac:dyDescent="0.3">
      <c r="A33" s="2" t="s">
        <v>76</v>
      </c>
      <c r="B33" s="7"/>
      <c r="C33" s="7"/>
      <c r="D33" s="7"/>
      <c r="E33" s="7"/>
      <c r="F33" s="7">
        <f>(((B33)+(C33))+(D33))+(E33)</f>
        <v>0</v>
      </c>
      <c r="G33" s="7"/>
      <c r="H33" s="7"/>
      <c r="I33" s="7">
        <f>(G33)+(H33)</f>
        <v>0</v>
      </c>
      <c r="J33" s="7">
        <f>(F33)+(I33)</f>
        <v>0</v>
      </c>
    </row>
    <row r="34" spans="1:11" x14ac:dyDescent="0.3">
      <c r="A34" s="2" t="s">
        <v>75</v>
      </c>
      <c r="B34" s="7"/>
      <c r="C34" s="7"/>
      <c r="D34" s="7">
        <f>50</f>
        <v>50</v>
      </c>
      <c r="E34" s="7"/>
      <c r="F34" s="7">
        <f>(((B34)+(C34))+(D34))+(E34)</f>
        <v>50</v>
      </c>
      <c r="G34" s="7"/>
      <c r="H34" s="7"/>
      <c r="I34" s="7">
        <f>(G34)+(H34)</f>
        <v>0</v>
      </c>
      <c r="J34" s="7">
        <f>(F34)+(I34)</f>
        <v>50</v>
      </c>
    </row>
    <row r="35" spans="1:11" x14ac:dyDescent="0.3">
      <c r="A35" s="2" t="s">
        <v>74</v>
      </c>
      <c r="B35" s="9">
        <f>(B33)+(B34)</f>
        <v>0</v>
      </c>
      <c r="C35" s="9">
        <f>(C33)+(C34)</f>
        <v>0</v>
      </c>
      <c r="D35" s="9">
        <f>(D33)+(D34)</f>
        <v>50</v>
      </c>
      <c r="E35" s="9">
        <f>(E33)+(E34)</f>
        <v>0</v>
      </c>
      <c r="F35" s="9">
        <f>(((B35)+(C35))+(D35))+(E35)</f>
        <v>50</v>
      </c>
      <c r="G35" s="9">
        <f>(G33)+(G34)</f>
        <v>0</v>
      </c>
      <c r="H35" s="9">
        <f>(H33)+(H34)</f>
        <v>0</v>
      </c>
      <c r="I35" s="9">
        <f>(G35)+(H35)</f>
        <v>0</v>
      </c>
      <c r="J35" s="9">
        <f>(F35)+(I35)</f>
        <v>50</v>
      </c>
      <c r="K35" s="14"/>
    </row>
    <row r="36" spans="1:11" x14ac:dyDescent="0.3">
      <c r="A36" s="2"/>
      <c r="B36" s="11"/>
      <c r="C36" s="11"/>
      <c r="D36" s="11"/>
      <c r="E36" s="11"/>
      <c r="F36" s="11"/>
      <c r="G36" s="11"/>
      <c r="H36" s="11"/>
      <c r="I36" s="11"/>
      <c r="J36" s="11"/>
    </row>
    <row r="37" spans="1:11" x14ac:dyDescent="0.3">
      <c r="A37" s="2" t="s">
        <v>73</v>
      </c>
      <c r="B37" s="9">
        <f>((B9)+(B31))+(B35)</f>
        <v>0</v>
      </c>
      <c r="C37" s="9">
        <f>((C9)+(C31))+(C35)</f>
        <v>78462</v>
      </c>
      <c r="D37" s="9">
        <f>((D9)+(D31))+(D35)</f>
        <v>6605</v>
      </c>
      <c r="E37" s="9">
        <f>((E9)+(E31))+(E35)</f>
        <v>0</v>
      </c>
      <c r="F37" s="9">
        <f>(((B37)+(C37))+(D37))+(E37)</f>
        <v>85067</v>
      </c>
      <c r="G37" s="9">
        <f>((G9)+(G31))+(G35)</f>
        <v>0</v>
      </c>
      <c r="H37" s="9">
        <f>((H9)+(H31))+(H35)</f>
        <v>0</v>
      </c>
      <c r="I37" s="9">
        <f>(G37)+(H37)</f>
        <v>0</v>
      </c>
      <c r="J37" s="9">
        <f>(F37)+(I37)</f>
        <v>85067</v>
      </c>
    </row>
    <row r="38" spans="1:11" hidden="1" x14ac:dyDescent="0.3">
      <c r="A38" s="2" t="s">
        <v>72</v>
      </c>
      <c r="B38" s="9">
        <f>(B37)-(0)</f>
        <v>0</v>
      </c>
      <c r="C38" s="9">
        <f>(C37)-(0)</f>
        <v>78462</v>
      </c>
      <c r="D38" s="9">
        <f>(D37)-(0)</f>
        <v>6605</v>
      </c>
      <c r="E38" s="9">
        <f>(E37)-(0)</f>
        <v>0</v>
      </c>
      <c r="F38" s="9">
        <f>(((B38)+(C38))+(D38))+(E38)</f>
        <v>85067</v>
      </c>
      <c r="G38" s="9">
        <f>(G37)-(0)</f>
        <v>0</v>
      </c>
      <c r="H38" s="9">
        <f>(H37)-(0)</f>
        <v>0</v>
      </c>
      <c r="I38" s="9">
        <f>(G38)+(H38)</f>
        <v>0</v>
      </c>
      <c r="J38" s="9">
        <f>(F38)+(I38)</f>
        <v>85067</v>
      </c>
    </row>
    <row r="39" spans="1:11" x14ac:dyDescent="0.3">
      <c r="A39" s="2"/>
      <c r="B39" s="11"/>
      <c r="C39" s="11"/>
      <c r="D39" s="11"/>
      <c r="E39" s="11"/>
      <c r="F39" s="11"/>
      <c r="G39" s="11"/>
      <c r="H39" s="11"/>
      <c r="I39" s="11"/>
      <c r="J39" s="11"/>
    </row>
    <row r="40" spans="1:11" x14ac:dyDescent="0.3">
      <c r="A40" s="2" t="s">
        <v>71</v>
      </c>
      <c r="B40" s="7"/>
      <c r="C40" s="7"/>
      <c r="D40" s="7"/>
      <c r="E40" s="7"/>
      <c r="F40" s="7"/>
      <c r="G40" s="7"/>
      <c r="H40" s="7"/>
      <c r="I40" s="7"/>
      <c r="J40" s="7"/>
    </row>
    <row r="41" spans="1:11" x14ac:dyDescent="0.3">
      <c r="A41" s="2" t="s">
        <v>70</v>
      </c>
      <c r="B41" s="7"/>
      <c r="C41" s="7"/>
      <c r="D41" s="7"/>
      <c r="E41" s="7"/>
      <c r="F41" s="7">
        <f>(((B41)+(C41))+(D41))+(E41)</f>
        <v>0</v>
      </c>
      <c r="G41" s="7"/>
      <c r="H41" s="7"/>
      <c r="I41" s="7">
        <f>(G41)+(H41)</f>
        <v>0</v>
      </c>
      <c r="J41" s="7">
        <f>(F41)+(I41)</f>
        <v>0</v>
      </c>
    </row>
    <row r="42" spans="1:11" x14ac:dyDescent="0.3">
      <c r="A42" s="2" t="s">
        <v>69</v>
      </c>
      <c r="B42" s="7"/>
      <c r="C42" s="7">
        <f>1200</f>
        <v>1200</v>
      </c>
      <c r="D42" s="7"/>
      <c r="E42" s="7"/>
      <c r="F42" s="7">
        <f>(((B42)+(C42))+(D42))+(E42)</f>
        <v>1200</v>
      </c>
      <c r="G42" s="7"/>
      <c r="H42" s="7"/>
      <c r="I42" s="7">
        <f>(G42)+(H42)</f>
        <v>0</v>
      </c>
      <c r="J42" s="7">
        <f>(F42)+(I42)</f>
        <v>1200</v>
      </c>
    </row>
    <row r="43" spans="1:11" x14ac:dyDescent="0.3">
      <c r="A43" s="2" t="s">
        <v>68</v>
      </c>
      <c r="B43" s="7"/>
      <c r="C43" s="7">
        <f>15252</f>
        <v>15252</v>
      </c>
      <c r="D43" s="7"/>
      <c r="E43" s="7"/>
      <c r="F43" s="7">
        <f>(((B43)+(C43))+(D43))+(E43)</f>
        <v>15252</v>
      </c>
      <c r="G43" s="7"/>
      <c r="H43" s="7"/>
      <c r="I43" s="7">
        <f>(G43)+(H43)</f>
        <v>0</v>
      </c>
      <c r="J43" s="7">
        <f>(F43)+(I43)</f>
        <v>15252</v>
      </c>
    </row>
    <row r="44" spans="1:11" x14ac:dyDescent="0.3">
      <c r="A44" s="2" t="s">
        <v>67</v>
      </c>
      <c r="B44" s="7"/>
      <c r="C44" s="7">
        <f>4096</f>
        <v>4096</v>
      </c>
      <c r="D44" s="7"/>
      <c r="E44" s="7"/>
      <c r="F44" s="7">
        <f>(((B44)+(C44))+(D44))+(E44)</f>
        <v>4096</v>
      </c>
      <c r="G44" s="7"/>
      <c r="H44" s="7"/>
      <c r="I44" s="7">
        <f>(G44)+(H44)</f>
        <v>0</v>
      </c>
      <c r="J44" s="7">
        <f>(F44)+(I44)</f>
        <v>4096</v>
      </c>
    </row>
    <row r="45" spans="1:11" x14ac:dyDescent="0.3">
      <c r="A45" s="2" t="s">
        <v>66</v>
      </c>
      <c r="B45" s="7"/>
      <c r="C45" s="7">
        <f>5472</f>
        <v>5472</v>
      </c>
      <c r="D45" s="7"/>
      <c r="E45" s="7"/>
      <c r="F45" s="7">
        <f>(((B45)+(C45))+(D45))+(E45)</f>
        <v>5472</v>
      </c>
      <c r="G45" s="7"/>
      <c r="H45" s="7"/>
      <c r="I45" s="7">
        <f>(G45)+(H45)</f>
        <v>0</v>
      </c>
      <c r="J45" s="7">
        <f>(F45)+(I45)</f>
        <v>5472</v>
      </c>
    </row>
    <row r="46" spans="1:11" x14ac:dyDescent="0.3">
      <c r="A46" s="2" t="s">
        <v>65</v>
      </c>
      <c r="B46" s="7"/>
      <c r="C46" s="7"/>
      <c r="D46" s="7"/>
      <c r="E46" s="7"/>
      <c r="F46" s="7">
        <f>(((B46)+(C46))+(D46))+(E46)</f>
        <v>0</v>
      </c>
      <c r="G46" s="7"/>
      <c r="H46" s="7">
        <f>3740</f>
        <v>3740</v>
      </c>
      <c r="I46" s="7">
        <f>(G46)+(H46)</f>
        <v>3740</v>
      </c>
      <c r="J46" s="7">
        <f>(F46)+(I46)</f>
        <v>3740</v>
      </c>
    </row>
    <row r="47" spans="1:11" x14ac:dyDescent="0.3">
      <c r="A47" s="2" t="s">
        <v>64</v>
      </c>
      <c r="B47" s="9">
        <f>(((((B41)+(B42))+(B43))+(B44))+(B45))+(B46)</f>
        <v>0</v>
      </c>
      <c r="C47" s="9">
        <f>(((((C41)+(C42))+(C43))+(C44))+(C45))+(C46)</f>
        <v>26020</v>
      </c>
      <c r="D47" s="9">
        <f>(((((D41)+(D42))+(D43))+(D44))+(D45))+(D46)</f>
        <v>0</v>
      </c>
      <c r="E47" s="9">
        <f>(((((E41)+(E42))+(E43))+(E44))+(E45))+(E46)</f>
        <v>0</v>
      </c>
      <c r="F47" s="9">
        <f>(((B47)+(C47))+(D47))+(E47)</f>
        <v>26020</v>
      </c>
      <c r="G47" s="9">
        <f>(((((G41)+(G42))+(G43))+(G44))+(G45))+(G46)</f>
        <v>0</v>
      </c>
      <c r="H47" s="9">
        <f>(((((H41)+(H42))+(H43))+(H44))+(H45))+(H46)</f>
        <v>3740</v>
      </c>
      <c r="I47" s="9">
        <f>(G47)+(H47)</f>
        <v>3740</v>
      </c>
      <c r="J47" s="9">
        <f>(F47)+(I47)</f>
        <v>29760</v>
      </c>
    </row>
    <row r="48" spans="1:11" x14ac:dyDescent="0.3">
      <c r="A48" s="2"/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3">
      <c r="A49" s="2" t="s">
        <v>63</v>
      </c>
      <c r="B49" s="7"/>
      <c r="C49" s="7"/>
      <c r="D49" s="7"/>
      <c r="E49" s="7"/>
      <c r="F49" s="7">
        <f>(((B49)+(C49))+(D49))+(E49)</f>
        <v>0</v>
      </c>
      <c r="G49" s="7"/>
      <c r="H49" s="7"/>
      <c r="I49" s="7">
        <f>(G49)+(H49)</f>
        <v>0</v>
      </c>
      <c r="J49" s="7">
        <f>(F49)+(I49)</f>
        <v>0</v>
      </c>
    </row>
    <row r="50" spans="1:10" x14ac:dyDescent="0.3">
      <c r="A50" s="2" t="s">
        <v>62</v>
      </c>
      <c r="B50" s="7"/>
      <c r="C50" s="7"/>
      <c r="D50" s="7">
        <f>102.22</f>
        <v>102.22</v>
      </c>
      <c r="E50" s="7"/>
      <c r="F50" s="7">
        <f>(((B50)+(C50))+(D50))+(E50)</f>
        <v>102.22</v>
      </c>
      <c r="G50" s="7"/>
      <c r="H50" s="7">
        <f>1332.87</f>
        <v>1332.87</v>
      </c>
      <c r="I50" s="7">
        <f>(G50)+(H50)</f>
        <v>1332.87</v>
      </c>
      <c r="J50" s="7">
        <f>(F50)+(I50)</f>
        <v>1435.09</v>
      </c>
    </row>
    <row r="51" spans="1:10" x14ac:dyDescent="0.3">
      <c r="A51" s="2" t="s">
        <v>61</v>
      </c>
      <c r="B51" s="7"/>
      <c r="C51" s="7"/>
      <c r="D51" s="7"/>
      <c r="E51" s="7"/>
      <c r="F51" s="7">
        <f>(((B51)+(C51))+(D51))+(E51)</f>
        <v>0</v>
      </c>
      <c r="G51" s="7"/>
      <c r="H51" s="7">
        <f>1249.91</f>
        <v>1249.9100000000001</v>
      </c>
      <c r="I51" s="7">
        <f>(G51)+(H51)</f>
        <v>1249.9100000000001</v>
      </c>
      <c r="J51" s="7">
        <f>(F51)+(I51)</f>
        <v>1249.9100000000001</v>
      </c>
    </row>
    <row r="52" spans="1:10" x14ac:dyDescent="0.3">
      <c r="A52" s="2" t="s">
        <v>60</v>
      </c>
      <c r="B52" s="7"/>
      <c r="C52" s="7"/>
      <c r="D52" s="7"/>
      <c r="E52" s="7"/>
      <c r="F52" s="7">
        <f>(((B52)+(C52))+(D52))+(E52)</f>
        <v>0</v>
      </c>
      <c r="G52" s="7"/>
      <c r="H52" s="7">
        <f>1607.75</f>
        <v>1607.75</v>
      </c>
      <c r="I52" s="7">
        <f>(G52)+(H52)</f>
        <v>1607.75</v>
      </c>
      <c r="J52" s="7">
        <f>(F52)+(I52)</f>
        <v>1607.75</v>
      </c>
    </row>
    <row r="53" spans="1:10" x14ac:dyDescent="0.3">
      <c r="A53" s="2" t="s">
        <v>59</v>
      </c>
      <c r="B53" s="7"/>
      <c r="C53" s="7"/>
      <c r="D53" s="7"/>
      <c r="E53" s="7"/>
      <c r="F53" s="7">
        <f>(((B53)+(C53))+(D53))+(E53)</f>
        <v>0</v>
      </c>
      <c r="G53" s="7"/>
      <c r="H53" s="7">
        <f>3137.1</f>
        <v>3137.1</v>
      </c>
      <c r="I53" s="7">
        <f>(G53)+(H53)</f>
        <v>3137.1</v>
      </c>
      <c r="J53" s="7">
        <f>(F53)+(I53)</f>
        <v>3137.1</v>
      </c>
    </row>
    <row r="54" spans="1:10" x14ac:dyDescent="0.3">
      <c r="A54" s="2" t="s">
        <v>58</v>
      </c>
      <c r="B54" s="7"/>
      <c r="C54" s="7"/>
      <c r="D54" s="7"/>
      <c r="E54" s="7">
        <f>5850</f>
        <v>5850</v>
      </c>
      <c r="F54" s="7">
        <f>(((B54)+(C54))+(D54))+(E54)</f>
        <v>5850</v>
      </c>
      <c r="G54" s="7"/>
      <c r="H54" s="7">
        <f>618.91</f>
        <v>618.91</v>
      </c>
      <c r="I54" s="7">
        <f>(G54)+(H54)</f>
        <v>618.91</v>
      </c>
      <c r="J54" s="7">
        <f>(F54)+(I54)</f>
        <v>6468.91</v>
      </c>
    </row>
    <row r="55" spans="1:10" x14ac:dyDescent="0.3">
      <c r="A55" s="2" t="s">
        <v>57</v>
      </c>
      <c r="B55" s="9">
        <f>(((((B49)+(B50))+(B51))+(B52))+(B53))+(B54)</f>
        <v>0</v>
      </c>
      <c r="C55" s="9">
        <f>(((((C49)+(C50))+(C51))+(C52))+(C53))+(C54)</f>
        <v>0</v>
      </c>
      <c r="D55" s="9">
        <f>(((((D49)+(D50))+(D51))+(D52))+(D53))+(D54)</f>
        <v>102.22</v>
      </c>
      <c r="E55" s="9">
        <f>(((((E49)+(E50))+(E51))+(E52))+(E53))+(E54)</f>
        <v>5850</v>
      </c>
      <c r="F55" s="9">
        <f>(((B55)+(C55))+(D55))+(E55)</f>
        <v>5952.22</v>
      </c>
      <c r="G55" s="9">
        <f>(((((G49)+(G50))+(G51))+(G52))+(G53))+(G54)</f>
        <v>0</v>
      </c>
      <c r="H55" s="9">
        <f>(((((H49)+(H50))+(H51))+(H52))+(H53))+(H54)</f>
        <v>7946.5399999999991</v>
      </c>
      <c r="I55" s="9">
        <f>(G55)+(H55)</f>
        <v>7946.5399999999991</v>
      </c>
      <c r="J55" s="9">
        <f>(F55)+(I55)</f>
        <v>13898.759999999998</v>
      </c>
    </row>
    <row r="56" spans="1:10" x14ac:dyDescent="0.3">
      <c r="A56" s="2"/>
      <c r="B56" s="11"/>
      <c r="C56" s="11"/>
      <c r="D56" s="11"/>
      <c r="E56" s="11"/>
      <c r="F56" s="11"/>
      <c r="G56" s="11"/>
      <c r="H56" s="11"/>
      <c r="I56" s="11"/>
      <c r="J56" s="11"/>
    </row>
    <row r="57" spans="1:10" x14ac:dyDescent="0.3">
      <c r="A57" s="2" t="s">
        <v>56</v>
      </c>
      <c r="B57" s="7"/>
      <c r="C57" s="7"/>
      <c r="D57" s="7"/>
      <c r="E57" s="7"/>
      <c r="F57" s="7">
        <f>(((B57)+(C57))+(D57))+(E57)</f>
        <v>0</v>
      </c>
      <c r="G57" s="7"/>
      <c r="H57" s="7"/>
      <c r="I57" s="7">
        <f>(G57)+(H57)</f>
        <v>0</v>
      </c>
      <c r="J57" s="7">
        <f>(F57)+(I57)</f>
        <v>0</v>
      </c>
    </row>
    <row r="58" spans="1:10" x14ac:dyDescent="0.3">
      <c r="A58" s="2" t="s">
        <v>55</v>
      </c>
      <c r="B58" s="7"/>
      <c r="C58" s="7"/>
      <c r="D58" s="7">
        <f>2217.44</f>
        <v>2217.44</v>
      </c>
      <c r="E58" s="7"/>
      <c r="F58" s="7">
        <f>(((B58)+(C58))+(D58))+(E58)</f>
        <v>2217.44</v>
      </c>
      <c r="G58" s="7"/>
      <c r="H58" s="7"/>
      <c r="I58" s="7">
        <f>(G58)+(H58)</f>
        <v>0</v>
      </c>
      <c r="J58" s="7">
        <f>(F58)+(I58)</f>
        <v>2217.44</v>
      </c>
    </row>
    <row r="59" spans="1:10" x14ac:dyDescent="0.3">
      <c r="A59" s="2" t="s">
        <v>54</v>
      </c>
      <c r="B59" s="7"/>
      <c r="C59" s="7">
        <f>14</f>
        <v>14</v>
      </c>
      <c r="D59" s="7"/>
      <c r="E59" s="7"/>
      <c r="F59" s="7">
        <f>(((B59)+(C59))+(D59))+(E59)</f>
        <v>14</v>
      </c>
      <c r="G59" s="7"/>
      <c r="H59" s="7">
        <f>30</f>
        <v>30</v>
      </c>
      <c r="I59" s="7">
        <f>(G59)+(H59)</f>
        <v>30</v>
      </c>
      <c r="J59" s="7">
        <f>(F59)+(I59)</f>
        <v>44</v>
      </c>
    </row>
    <row r="60" spans="1:10" x14ac:dyDescent="0.3">
      <c r="A60" s="2" t="s">
        <v>53</v>
      </c>
      <c r="B60" s="7"/>
      <c r="C60" s="7">
        <f>2500</f>
        <v>2500</v>
      </c>
      <c r="D60" s="7"/>
      <c r="E60" s="7"/>
      <c r="F60" s="7">
        <f>(((B60)+(C60))+(D60))+(E60)</f>
        <v>2500</v>
      </c>
      <c r="G60" s="7"/>
      <c r="H60" s="7"/>
      <c r="I60" s="7">
        <f>(G60)+(H60)</f>
        <v>0</v>
      </c>
      <c r="J60" s="7">
        <f>(F60)+(I60)</f>
        <v>2500</v>
      </c>
    </row>
    <row r="61" spans="1:10" x14ac:dyDescent="0.3">
      <c r="A61" s="2" t="s">
        <v>52</v>
      </c>
      <c r="B61" s="9">
        <f>(((B57)+(B58))+(B59))+(B60)</f>
        <v>0</v>
      </c>
      <c r="C61" s="9">
        <f>(((C57)+(C58))+(C59))+(C60)</f>
        <v>2514</v>
      </c>
      <c r="D61" s="9">
        <f>(((D57)+(D58))+(D59))+(D60)</f>
        <v>2217.44</v>
      </c>
      <c r="E61" s="9">
        <f>(((E57)+(E58))+(E59))+(E60)</f>
        <v>0</v>
      </c>
      <c r="F61" s="9">
        <f>(((B61)+(C61))+(D61))+(E61)</f>
        <v>4731.4400000000005</v>
      </c>
      <c r="G61" s="9">
        <f>(((G57)+(G58))+(G59))+(G60)</f>
        <v>0</v>
      </c>
      <c r="H61" s="9">
        <f>(((H57)+(H58))+(H59))+(H60)</f>
        <v>30</v>
      </c>
      <c r="I61" s="9">
        <f>(G61)+(H61)</f>
        <v>30</v>
      </c>
      <c r="J61" s="9">
        <f>(F61)+(I61)</f>
        <v>4761.4400000000005</v>
      </c>
    </row>
    <row r="62" spans="1:10" x14ac:dyDescent="0.3">
      <c r="A62" s="2"/>
      <c r="B62" s="11"/>
      <c r="C62" s="11"/>
      <c r="D62" s="11"/>
      <c r="E62" s="11"/>
      <c r="F62" s="11"/>
      <c r="G62" s="11"/>
      <c r="H62" s="11"/>
      <c r="I62" s="11"/>
      <c r="J62" s="11"/>
    </row>
    <row r="63" spans="1:10" x14ac:dyDescent="0.3">
      <c r="A63" s="2" t="s">
        <v>51</v>
      </c>
      <c r="B63" s="7"/>
      <c r="C63" s="7"/>
      <c r="D63" s="7"/>
      <c r="E63" s="7"/>
      <c r="F63" s="7">
        <f>(((B63)+(C63))+(D63))+(E63)</f>
        <v>0</v>
      </c>
      <c r="G63" s="7"/>
      <c r="H63" s="7"/>
      <c r="I63" s="7">
        <f>(G63)+(H63)</f>
        <v>0</v>
      </c>
      <c r="J63" s="7">
        <f>(F63)+(I63)</f>
        <v>0</v>
      </c>
    </row>
    <row r="64" spans="1:10" x14ac:dyDescent="0.3">
      <c r="A64" s="2" t="s">
        <v>50</v>
      </c>
      <c r="B64" s="7"/>
      <c r="C64" s="7"/>
      <c r="D64" s="7"/>
      <c r="E64" s="7"/>
      <c r="F64" s="7">
        <f>(((B64)+(C64))+(D64))+(E64)</f>
        <v>0</v>
      </c>
      <c r="G64" s="7"/>
      <c r="H64" s="7"/>
      <c r="I64" s="7">
        <f>(G64)+(H64)</f>
        <v>0</v>
      </c>
      <c r="J64" s="7">
        <f>(F64)+(I64)</f>
        <v>0</v>
      </c>
    </row>
    <row r="65" spans="1:11" x14ac:dyDescent="0.3">
      <c r="A65" s="2" t="s">
        <v>49</v>
      </c>
      <c r="B65" s="7"/>
      <c r="C65" s="7"/>
      <c r="D65" s="7"/>
      <c r="E65" s="7"/>
      <c r="F65" s="7">
        <f>(((B65)+(C65))+(D65))+(E65)</f>
        <v>0</v>
      </c>
      <c r="G65" s="7"/>
      <c r="H65" s="7">
        <f>2129</f>
        <v>2129</v>
      </c>
      <c r="I65" s="7">
        <f>(G65)+(H65)</f>
        <v>2129</v>
      </c>
      <c r="J65" s="7">
        <f>(F65)+(I65)</f>
        <v>2129</v>
      </c>
    </row>
    <row r="66" spans="1:11" x14ac:dyDescent="0.3">
      <c r="A66" s="2" t="s">
        <v>48</v>
      </c>
      <c r="B66" s="7"/>
      <c r="C66" s="7"/>
      <c r="D66" s="7"/>
      <c r="E66" s="7"/>
      <c r="F66" s="7">
        <f>(((B66)+(C66))+(D66))+(E66)</f>
        <v>0</v>
      </c>
      <c r="G66" s="7"/>
      <c r="H66" s="7">
        <f>3295</f>
        <v>3295</v>
      </c>
      <c r="I66" s="7">
        <f>(G66)+(H66)</f>
        <v>3295</v>
      </c>
      <c r="J66" s="7">
        <f>(F66)+(I66)</f>
        <v>3295</v>
      </c>
    </row>
    <row r="67" spans="1:11" x14ac:dyDescent="0.3">
      <c r="A67" s="2" t="s">
        <v>47</v>
      </c>
      <c r="B67" s="9">
        <f>((B64)+(B65))+(B66)</f>
        <v>0</v>
      </c>
      <c r="C67" s="9">
        <f>((C64)+(C65))+(C66)</f>
        <v>0</v>
      </c>
      <c r="D67" s="9">
        <f>((D64)+(D65))+(D66)</f>
        <v>0</v>
      </c>
      <c r="E67" s="9">
        <f>((E64)+(E65))+(E66)</f>
        <v>0</v>
      </c>
      <c r="F67" s="9">
        <f>(((B67)+(C67))+(D67))+(E67)</f>
        <v>0</v>
      </c>
      <c r="G67" s="9">
        <f>((G64)+(G65))+(G66)</f>
        <v>0</v>
      </c>
      <c r="H67" s="9">
        <f>((H64)+(H65))+(H66)</f>
        <v>5424</v>
      </c>
      <c r="I67" s="9">
        <f>(G67)+(H67)</f>
        <v>5424</v>
      </c>
      <c r="J67" s="9">
        <f>(F67)+(I67)</f>
        <v>5424</v>
      </c>
    </row>
    <row r="68" spans="1:11" x14ac:dyDescent="0.3">
      <c r="A68" s="2"/>
      <c r="B68" s="11"/>
      <c r="C68" s="11"/>
      <c r="D68" s="11"/>
      <c r="E68" s="11"/>
      <c r="F68" s="11"/>
      <c r="G68" s="11"/>
      <c r="H68" s="11"/>
      <c r="I68" s="11"/>
      <c r="J68" s="11"/>
    </row>
    <row r="69" spans="1:11" x14ac:dyDescent="0.3">
      <c r="A69" s="2" t="s">
        <v>46</v>
      </c>
      <c r="B69" s="7"/>
      <c r="C69" s="7"/>
      <c r="D69" s="7"/>
      <c r="E69" s="7"/>
      <c r="F69" s="7">
        <f>(((B69)+(C69))+(D69))+(E69)</f>
        <v>0</v>
      </c>
      <c r="G69" s="7"/>
      <c r="H69" s="7">
        <f>83.39</f>
        <v>83.39</v>
      </c>
      <c r="I69" s="7">
        <f>(G69)+(H69)</f>
        <v>83.39</v>
      </c>
      <c r="J69" s="7">
        <f>(F69)+(I69)</f>
        <v>83.39</v>
      </c>
    </row>
    <row r="70" spans="1:11" x14ac:dyDescent="0.3">
      <c r="A70" s="2" t="s">
        <v>45</v>
      </c>
      <c r="B70" s="7"/>
      <c r="C70" s="7"/>
      <c r="D70" s="7"/>
      <c r="E70" s="7"/>
      <c r="F70" s="7">
        <f>(((B70)+(C70))+(D70))+(E70)</f>
        <v>0</v>
      </c>
      <c r="G70" s="7"/>
      <c r="H70" s="7">
        <f>3802.16</f>
        <v>3802.16</v>
      </c>
      <c r="I70" s="7">
        <f>(G70)+(H70)</f>
        <v>3802.16</v>
      </c>
      <c r="J70" s="7">
        <f>(F70)+(I70)</f>
        <v>3802.16</v>
      </c>
    </row>
    <row r="71" spans="1:11" x14ac:dyDescent="0.3">
      <c r="A71" s="2" t="s">
        <v>44</v>
      </c>
      <c r="B71" s="7"/>
      <c r="C71" s="7">
        <f>2784</f>
        <v>2784</v>
      </c>
      <c r="D71" s="7"/>
      <c r="E71" s="7"/>
      <c r="F71" s="7">
        <f>(((B71)+(C71))+(D71))+(E71)</f>
        <v>2784</v>
      </c>
      <c r="G71" s="7"/>
      <c r="H71" s="7">
        <f>120</f>
        <v>120</v>
      </c>
      <c r="I71" s="7">
        <f>(G71)+(H71)</f>
        <v>120</v>
      </c>
      <c r="J71" s="7">
        <f>(F71)+(I71)</f>
        <v>2904</v>
      </c>
    </row>
    <row r="72" spans="1:11" x14ac:dyDescent="0.3">
      <c r="A72" s="2" t="s">
        <v>43</v>
      </c>
      <c r="B72" s="7"/>
      <c r="C72" s="7"/>
      <c r="D72" s="7"/>
      <c r="E72" s="7"/>
      <c r="F72" s="7">
        <f>(((B72)+(C72))+(D72))+(E72)</f>
        <v>0</v>
      </c>
      <c r="G72" s="7"/>
      <c r="H72" s="7">
        <f>405</f>
        <v>405</v>
      </c>
      <c r="I72" s="7">
        <f>(G72)+(H72)</f>
        <v>405</v>
      </c>
      <c r="J72" s="7">
        <f>(F72)+(I72)</f>
        <v>405</v>
      </c>
    </row>
    <row r="73" spans="1:11" x14ac:dyDescent="0.3">
      <c r="A73" s="2" t="s">
        <v>42</v>
      </c>
      <c r="B73" s="9">
        <f>(((((B63)+(B67))+(B69))+(B70))+(B71))+(B72)</f>
        <v>0</v>
      </c>
      <c r="C73" s="9">
        <f>(((((C63)+(C67))+(C69))+(C70))+(C71))+(C72)</f>
        <v>2784</v>
      </c>
      <c r="D73" s="9">
        <f>(((((D63)+(D67))+(D69))+(D70))+(D71))+(D72)</f>
        <v>0</v>
      </c>
      <c r="E73" s="9">
        <f>(((((E63)+(E67))+(E69))+(E70))+(E71))+(E72)</f>
        <v>0</v>
      </c>
      <c r="F73" s="9">
        <f>(((B73)+(C73))+(D73))+(E73)</f>
        <v>2784</v>
      </c>
      <c r="G73" s="9">
        <f>(((((G63)+(G67))+(G69))+(G70))+(G71))+(G72)</f>
        <v>0</v>
      </c>
      <c r="H73" s="9">
        <f>(((((H63)+(H67))+(H69))+(H70))+(H71))+(H72)</f>
        <v>9834.5499999999993</v>
      </c>
      <c r="I73" s="9">
        <f>(G73)+(H73)</f>
        <v>9834.5499999999993</v>
      </c>
      <c r="J73" s="9">
        <f>(F73)+(I73)</f>
        <v>12618.55</v>
      </c>
      <c r="K73" s="14"/>
    </row>
    <row r="74" spans="1:11" x14ac:dyDescent="0.3">
      <c r="A74" s="2"/>
      <c r="B74" s="11"/>
      <c r="C74" s="11"/>
      <c r="D74" s="11"/>
      <c r="E74" s="11"/>
      <c r="F74" s="11"/>
      <c r="G74" s="11"/>
      <c r="H74" s="11"/>
      <c r="I74" s="11"/>
      <c r="J74" s="11"/>
    </row>
    <row r="75" spans="1:11" x14ac:dyDescent="0.3">
      <c r="A75" s="2" t="s">
        <v>41</v>
      </c>
      <c r="B75" s="9">
        <f>(((B47)+(B55))+(B61))+(B73)</f>
        <v>0</v>
      </c>
      <c r="C75" s="9">
        <f>(((C47)+(C55))+(C61))+(C73)</f>
        <v>31318</v>
      </c>
      <c r="D75" s="9">
        <f>(((D47)+(D55))+(D61))+(D73)</f>
        <v>2319.66</v>
      </c>
      <c r="E75" s="9">
        <f>(((E47)+(E55))+(E61))+(E73)</f>
        <v>5850</v>
      </c>
      <c r="F75" s="9">
        <f>(((B75)+(C75))+(D75))+(E75)</f>
        <v>39487.660000000003</v>
      </c>
      <c r="G75" s="9">
        <f>(((G47)+(G55))+(G61))+(G73)</f>
        <v>0</v>
      </c>
      <c r="H75" s="9">
        <f>(((H47)+(H55))+(H61))+(H73)</f>
        <v>21551.089999999997</v>
      </c>
      <c r="I75" s="9">
        <f>(G75)+(H75)</f>
        <v>21551.089999999997</v>
      </c>
      <c r="J75" s="9">
        <f>(F75)+(I75)</f>
        <v>61038.75</v>
      </c>
    </row>
    <row r="76" spans="1:11" hidden="1" x14ac:dyDescent="0.3">
      <c r="A76" s="2" t="s">
        <v>40</v>
      </c>
      <c r="B76" s="9">
        <f>(B38)-(B75)</f>
        <v>0</v>
      </c>
      <c r="C76" s="9">
        <f>(C38)-(C75)</f>
        <v>47144</v>
      </c>
      <c r="D76" s="9">
        <f>(D38)-(D75)</f>
        <v>4285.34</v>
      </c>
      <c r="E76" s="9">
        <f>(E38)-(E75)</f>
        <v>-5850</v>
      </c>
      <c r="F76" s="9">
        <f>(((B76)+(C76))+(D76))+(E76)</f>
        <v>45579.34</v>
      </c>
      <c r="G76" s="9">
        <f>(G38)-(G75)</f>
        <v>0</v>
      </c>
      <c r="H76" s="9">
        <f>(H38)-(H75)</f>
        <v>-21551.089999999997</v>
      </c>
      <c r="I76" s="9">
        <f>(G76)+(H76)</f>
        <v>-21551.089999999997</v>
      </c>
      <c r="J76" s="9">
        <f>(F76)+(I76)</f>
        <v>24028.25</v>
      </c>
    </row>
    <row r="77" spans="1:11" x14ac:dyDescent="0.3">
      <c r="A77" s="2"/>
      <c r="B77" s="11"/>
      <c r="C77" s="11"/>
      <c r="D77" s="11"/>
      <c r="E77" s="11"/>
      <c r="F77" s="11"/>
      <c r="G77" s="11"/>
      <c r="H77" s="11"/>
      <c r="I77" s="11"/>
      <c r="J77" s="11"/>
    </row>
    <row r="78" spans="1:11" x14ac:dyDescent="0.3">
      <c r="A78" s="2" t="s">
        <v>39</v>
      </c>
      <c r="B78" s="7"/>
      <c r="C78" s="7"/>
      <c r="D78" s="7"/>
      <c r="E78" s="7"/>
      <c r="F78" s="7"/>
      <c r="G78" s="7"/>
      <c r="H78" s="7"/>
      <c r="I78" s="7"/>
      <c r="J78" s="7"/>
    </row>
    <row r="79" spans="1:11" x14ac:dyDescent="0.3">
      <c r="A79" s="2" t="s">
        <v>38</v>
      </c>
      <c r="B79" s="7"/>
      <c r="C79" s="7"/>
      <c r="D79" s="7"/>
      <c r="E79" s="7"/>
      <c r="F79" s="7">
        <f>(((B79)+(C79))+(D79))+(E79)</f>
        <v>0</v>
      </c>
      <c r="G79" s="7"/>
      <c r="H79" s="7"/>
      <c r="I79" s="7">
        <f>(G79)+(H79)</f>
        <v>0</v>
      </c>
      <c r="J79" s="7">
        <f>(F79)+(I79)</f>
        <v>0</v>
      </c>
    </row>
    <row r="80" spans="1:11" x14ac:dyDescent="0.3">
      <c r="A80" s="2" t="s">
        <v>37</v>
      </c>
      <c r="B80" s="7"/>
      <c r="C80" s="7"/>
      <c r="D80" s="7"/>
      <c r="E80" s="7"/>
      <c r="F80" s="7">
        <f>(((B80)+(C80))+(D80))+(E80)</f>
        <v>0</v>
      </c>
      <c r="G80" s="7"/>
      <c r="H80" s="7">
        <f>1962.45</f>
        <v>1962.45</v>
      </c>
      <c r="I80" s="7">
        <f>(G80)+(H80)</f>
        <v>1962.45</v>
      </c>
      <c r="J80" s="7">
        <f>(F80)+(I80)</f>
        <v>1962.45</v>
      </c>
    </row>
    <row r="81" spans="1:11" hidden="1" x14ac:dyDescent="0.3">
      <c r="A81" s="2" t="s">
        <v>36</v>
      </c>
      <c r="B81" s="9">
        <f>(B79)+(B80)</f>
        <v>0</v>
      </c>
      <c r="C81" s="9">
        <f>(C79)+(C80)</f>
        <v>0</v>
      </c>
      <c r="D81" s="9">
        <f>(D79)+(D80)</f>
        <v>0</v>
      </c>
      <c r="E81" s="9">
        <f>(E79)+(E80)</f>
        <v>0</v>
      </c>
      <c r="F81" s="9">
        <f>(((B81)+(C81))+(D81))+(E81)</f>
        <v>0</v>
      </c>
      <c r="G81" s="9">
        <f>(G79)+(G80)</f>
        <v>0</v>
      </c>
      <c r="H81" s="9">
        <f>(H79)+(H80)</f>
        <v>1962.45</v>
      </c>
      <c r="I81" s="9">
        <f>(G81)+(H81)</f>
        <v>1962.45</v>
      </c>
      <c r="J81" s="9">
        <f>(F81)+(I81)</f>
        <v>1962.45</v>
      </c>
    </row>
    <row r="82" spans="1:11" hidden="1" x14ac:dyDescent="0.3">
      <c r="A82" s="2" t="s">
        <v>35</v>
      </c>
      <c r="B82" s="9">
        <f>B81</f>
        <v>0</v>
      </c>
      <c r="C82" s="9">
        <f>C81</f>
        <v>0</v>
      </c>
      <c r="D82" s="9">
        <f>D81</f>
        <v>0</v>
      </c>
      <c r="E82" s="9">
        <f>E81</f>
        <v>0</v>
      </c>
      <c r="F82" s="9">
        <f>(((B82)+(C82))+(D82))+(E82)</f>
        <v>0</v>
      </c>
      <c r="G82" s="9">
        <f>G81</f>
        <v>0</v>
      </c>
      <c r="H82" s="9">
        <f>H81</f>
        <v>1962.45</v>
      </c>
      <c r="I82" s="9">
        <f>(G82)+(H82)</f>
        <v>1962.45</v>
      </c>
      <c r="J82" s="9">
        <f>(F82)+(I82)</f>
        <v>1962.45</v>
      </c>
    </row>
    <row r="83" spans="1:11" x14ac:dyDescent="0.3">
      <c r="A83" s="15" t="s">
        <v>34</v>
      </c>
      <c r="B83" s="9">
        <f>(B82)-(0)</f>
        <v>0</v>
      </c>
      <c r="C83" s="9">
        <f>(C82)-(0)</f>
        <v>0</v>
      </c>
      <c r="D83" s="9">
        <f>(D82)-(0)</f>
        <v>0</v>
      </c>
      <c r="E83" s="9">
        <f>(E82)-(0)</f>
        <v>0</v>
      </c>
      <c r="F83" s="9">
        <f>(((B83)+(C83))+(D83))+(E83)</f>
        <v>0</v>
      </c>
      <c r="G83" s="9">
        <f>(G82)-(0)</f>
        <v>0</v>
      </c>
      <c r="H83" s="9">
        <f>(H82)-(0)</f>
        <v>1962.45</v>
      </c>
      <c r="I83" s="9">
        <f>(G83)+(H83)</f>
        <v>1962.45</v>
      </c>
      <c r="J83" s="9">
        <f>(F83)+(I83)</f>
        <v>1962.45</v>
      </c>
      <c r="K83" s="14"/>
    </row>
    <row r="84" spans="1:11" x14ac:dyDescent="0.3">
      <c r="A84" s="2"/>
      <c r="B84" s="11"/>
      <c r="C84" s="11"/>
      <c r="D84" s="11"/>
      <c r="E84" s="11"/>
      <c r="F84" s="11"/>
      <c r="G84" s="11"/>
      <c r="H84" s="11"/>
      <c r="I84" s="11"/>
      <c r="J84" s="11"/>
    </row>
    <row r="85" spans="1:11" ht="15" thickBot="1" x14ac:dyDescent="0.35">
      <c r="A85" s="2" t="s">
        <v>33</v>
      </c>
      <c r="B85" s="12">
        <f>(B76)+(B83)</f>
        <v>0</v>
      </c>
      <c r="C85" s="12">
        <f>(C76)+(C83)</f>
        <v>47144</v>
      </c>
      <c r="D85" s="12">
        <f>(D76)+(D83)</f>
        <v>4285.34</v>
      </c>
      <c r="E85" s="12">
        <f>(E76)+(E83)</f>
        <v>-5850</v>
      </c>
      <c r="F85" s="12">
        <f>(((B85)+(C85))+(D85))+(E85)</f>
        <v>45579.34</v>
      </c>
      <c r="G85" s="12">
        <f>(G76)+(G83)</f>
        <v>0</v>
      </c>
      <c r="H85" s="12">
        <f>(H76)+(H83)</f>
        <v>-19588.639999999996</v>
      </c>
      <c r="I85" s="12">
        <f>(G85)+(H85)</f>
        <v>-19588.639999999996</v>
      </c>
      <c r="J85" s="12">
        <f>(F85)+(I85)</f>
        <v>25990.7</v>
      </c>
    </row>
    <row r="86" spans="1:11" ht="15" thickTop="1" x14ac:dyDescent="0.3">
      <c r="A86" s="2"/>
      <c r="B86" s="7"/>
      <c r="C86" s="7"/>
      <c r="D86" s="7"/>
      <c r="E86" s="7"/>
      <c r="F86" s="7"/>
      <c r="G86" s="7"/>
      <c r="H86" s="7"/>
      <c r="I86" s="7"/>
      <c r="J86" s="7"/>
    </row>
    <row r="87" spans="1:11" x14ac:dyDescent="0.3">
      <c r="C87" s="16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21DE-03FB-41F8-AF37-75F7AF5838B0}">
  <sheetPr>
    <pageSetUpPr fitToPage="1"/>
  </sheetPr>
  <dimension ref="A1:H8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F1"/>
    </sheetView>
  </sheetViews>
  <sheetFormatPr defaultRowHeight="14.4" x14ac:dyDescent="0.3"/>
  <cols>
    <col min="1" max="1" width="43" customWidth="1"/>
    <col min="2" max="6" width="12.77734375" style="10" customWidth="1"/>
  </cols>
  <sheetData>
    <row r="1" spans="1:6" ht="17.399999999999999" x14ac:dyDescent="0.3">
      <c r="A1" s="3" t="s">
        <v>30</v>
      </c>
      <c r="B1" s="4"/>
      <c r="C1" s="4"/>
      <c r="D1" s="4"/>
      <c r="E1" s="4"/>
      <c r="F1" s="4"/>
    </row>
    <row r="2" spans="1:6" ht="17.399999999999999" x14ac:dyDescent="0.3">
      <c r="A2" s="3" t="s">
        <v>109</v>
      </c>
      <c r="B2" s="4"/>
      <c r="C2" s="4"/>
      <c r="D2" s="4"/>
      <c r="E2" s="4"/>
      <c r="F2" s="4"/>
    </row>
    <row r="3" spans="1:6" x14ac:dyDescent="0.3">
      <c r="A3" s="5" t="s">
        <v>102</v>
      </c>
      <c r="B3" s="4"/>
      <c r="C3" s="4"/>
      <c r="D3" s="4"/>
      <c r="E3" s="4"/>
      <c r="F3" s="4"/>
    </row>
    <row r="5" spans="1:6" x14ac:dyDescent="0.3">
      <c r="A5" s="1"/>
      <c r="B5" s="6" t="s">
        <v>108</v>
      </c>
      <c r="C5" s="6" t="s">
        <v>107</v>
      </c>
      <c r="D5" s="6" t="s">
        <v>106</v>
      </c>
      <c r="E5" s="6" t="s">
        <v>105</v>
      </c>
      <c r="F5" s="6" t="s">
        <v>0</v>
      </c>
    </row>
    <row r="6" spans="1:6" x14ac:dyDescent="0.3">
      <c r="A6" s="2" t="s">
        <v>101</v>
      </c>
      <c r="B6" s="7"/>
      <c r="C6" s="7"/>
      <c r="D6" s="7"/>
      <c r="E6" s="7"/>
      <c r="F6" s="7"/>
    </row>
    <row r="7" spans="1:6" x14ac:dyDescent="0.3">
      <c r="A7" s="2" t="s">
        <v>100</v>
      </c>
      <c r="B7" s="7"/>
      <c r="C7" s="7"/>
      <c r="D7" s="7"/>
      <c r="E7" s="7"/>
      <c r="F7" s="7">
        <f>(((B7)+(C7))+(D7))+(E7)</f>
        <v>0</v>
      </c>
    </row>
    <row r="8" spans="1:6" x14ac:dyDescent="0.3">
      <c r="A8" s="2" t="s">
        <v>99</v>
      </c>
      <c r="B8" s="7">
        <f>10</f>
        <v>10</v>
      </c>
      <c r="C8" s="7">
        <f>5</f>
        <v>5</v>
      </c>
      <c r="D8" s="7"/>
      <c r="E8" s="7"/>
      <c r="F8" s="7">
        <f>(((B8)+(C8))+(D8))+(E8)</f>
        <v>15</v>
      </c>
    </row>
    <row r="9" spans="1:6" x14ac:dyDescent="0.3">
      <c r="A9" s="2" t="s">
        <v>98</v>
      </c>
      <c r="B9" s="9">
        <f>(B7)+(B8)</f>
        <v>10</v>
      </c>
      <c r="C9" s="9">
        <f>(C7)+(C8)</f>
        <v>5</v>
      </c>
      <c r="D9" s="9">
        <f>(D7)+(D8)</f>
        <v>0</v>
      </c>
      <c r="E9" s="9">
        <f>(E7)+(E8)</f>
        <v>0</v>
      </c>
      <c r="F9" s="9">
        <f>(((B9)+(C9))+(D9))+(E9)</f>
        <v>15</v>
      </c>
    </row>
    <row r="10" spans="1:6" x14ac:dyDescent="0.3">
      <c r="A10" s="2"/>
      <c r="B10" s="11"/>
      <c r="C10" s="11"/>
      <c r="D10" s="11"/>
      <c r="E10" s="11"/>
      <c r="F10" s="11"/>
    </row>
    <row r="11" spans="1:6" x14ac:dyDescent="0.3">
      <c r="A11" s="2" t="s">
        <v>97</v>
      </c>
      <c r="B11" s="7"/>
      <c r="C11" s="7"/>
      <c r="D11" s="7"/>
      <c r="E11" s="7"/>
      <c r="F11" s="7">
        <f>(((B11)+(C11))+(D11))+(E11)</f>
        <v>0</v>
      </c>
    </row>
    <row r="12" spans="1:6" x14ac:dyDescent="0.3">
      <c r="A12" s="2" t="s">
        <v>96</v>
      </c>
      <c r="B12" s="7">
        <f>4520</f>
        <v>4520</v>
      </c>
      <c r="C12" s="7">
        <f>2945</f>
        <v>2945</v>
      </c>
      <c r="D12" s="7">
        <f>4580</f>
        <v>4580</v>
      </c>
      <c r="E12" s="7">
        <f>4900</f>
        <v>4900</v>
      </c>
      <c r="F12" s="7">
        <f>(((B12)+(C12))+(D12))+(E12)</f>
        <v>16945</v>
      </c>
    </row>
    <row r="13" spans="1:6" x14ac:dyDescent="0.3">
      <c r="A13" s="2" t="s">
        <v>95</v>
      </c>
      <c r="B13" s="7"/>
      <c r="C13" s="7"/>
      <c r="D13" s="7"/>
      <c r="E13" s="7"/>
      <c r="F13" s="7">
        <f>(((B13)+(C13))+(D13))+(E13)</f>
        <v>0</v>
      </c>
    </row>
    <row r="14" spans="1:6" x14ac:dyDescent="0.3">
      <c r="A14" s="2" t="s">
        <v>94</v>
      </c>
      <c r="B14" s="7">
        <f>18180</f>
        <v>18180</v>
      </c>
      <c r="C14" s="7">
        <f>4820</f>
        <v>4820</v>
      </c>
      <c r="D14" s="7">
        <f>3807.06</f>
        <v>3807.06</v>
      </c>
      <c r="E14" s="7">
        <f>5142.94</f>
        <v>5142.9399999999996</v>
      </c>
      <c r="F14" s="7">
        <f>(((B14)+(C14))+(D14))+(E14)</f>
        <v>31950</v>
      </c>
    </row>
    <row r="15" spans="1:6" x14ac:dyDescent="0.3">
      <c r="A15" s="2" t="s">
        <v>93</v>
      </c>
      <c r="B15" s="7">
        <f>1560</f>
        <v>1560</v>
      </c>
      <c r="C15" s="7">
        <f>390</f>
        <v>390</v>
      </c>
      <c r="D15" s="7">
        <f>130</f>
        <v>130</v>
      </c>
      <c r="E15" s="7"/>
      <c r="F15" s="7">
        <f>(((B15)+(C15))+(D15))+(E15)</f>
        <v>2080</v>
      </c>
    </row>
    <row r="16" spans="1:6" x14ac:dyDescent="0.3">
      <c r="A16" s="2" t="s">
        <v>104</v>
      </c>
      <c r="B16" s="7">
        <f>-50</f>
        <v>-50</v>
      </c>
      <c r="C16" s="7">
        <f>50</f>
        <v>50</v>
      </c>
      <c r="D16" s="7"/>
      <c r="E16" s="7"/>
      <c r="F16" s="7">
        <f>(((B16)+(C16))+(D16))+(E16)</f>
        <v>0</v>
      </c>
    </row>
    <row r="17" spans="1:6" hidden="1" x14ac:dyDescent="0.3">
      <c r="A17" s="2" t="s">
        <v>92</v>
      </c>
      <c r="B17" s="9">
        <f>(((B13)+(B14))+(B15))+(B16)</f>
        <v>19690</v>
      </c>
      <c r="C17" s="9">
        <f>(((C13)+(C14))+(C15))+(C16)</f>
        <v>5260</v>
      </c>
      <c r="D17" s="9">
        <f>(((D13)+(D14))+(D15))+(D16)</f>
        <v>3937.06</v>
      </c>
      <c r="E17" s="9">
        <f>(((E13)+(E14))+(E15))+(E16)</f>
        <v>5142.9399999999996</v>
      </c>
      <c r="F17" s="9">
        <f>(((B17)+(C17))+(D17))+(E17)</f>
        <v>34030</v>
      </c>
    </row>
    <row r="18" spans="1:6" x14ac:dyDescent="0.3">
      <c r="A18" s="2" t="s">
        <v>91</v>
      </c>
      <c r="B18" s="7">
        <f>1950</f>
        <v>1950</v>
      </c>
      <c r="C18" s="7">
        <f>2850</f>
        <v>2850</v>
      </c>
      <c r="D18" s="7">
        <f>300</f>
        <v>300</v>
      </c>
      <c r="E18" s="7">
        <f>1110</f>
        <v>1110</v>
      </c>
      <c r="F18" s="7">
        <f>(((B18)+(C18))+(D18))+(E18)</f>
        <v>6210</v>
      </c>
    </row>
    <row r="19" spans="1:6" x14ac:dyDescent="0.3">
      <c r="A19" s="2" t="s">
        <v>90</v>
      </c>
      <c r="B19" s="7"/>
      <c r="C19" s="7"/>
      <c r="D19" s="7">
        <f>60</f>
        <v>60</v>
      </c>
      <c r="E19" s="7">
        <f>55</f>
        <v>55</v>
      </c>
      <c r="F19" s="7">
        <f>(((B19)+(C19))+(D19))+(E19)</f>
        <v>115</v>
      </c>
    </row>
    <row r="20" spans="1:6" x14ac:dyDescent="0.3">
      <c r="A20" s="2" t="s">
        <v>89</v>
      </c>
      <c r="B20" s="7"/>
      <c r="C20" s="7"/>
      <c r="D20" s="7">
        <f>140</f>
        <v>140</v>
      </c>
      <c r="E20" s="7">
        <f>90</f>
        <v>90</v>
      </c>
      <c r="F20" s="7">
        <f>(((B20)+(C20))+(D20))+(E20)</f>
        <v>230</v>
      </c>
    </row>
    <row r="21" spans="1:6" x14ac:dyDescent="0.3">
      <c r="A21" s="2" t="s">
        <v>88</v>
      </c>
      <c r="B21" s="7"/>
      <c r="C21" s="7"/>
      <c r="D21" s="7"/>
      <c r="E21" s="7"/>
      <c r="F21" s="7">
        <f>(((B21)+(C21))+(D21))+(E21)</f>
        <v>0</v>
      </c>
    </row>
    <row r="22" spans="1:6" x14ac:dyDescent="0.3">
      <c r="A22" s="2" t="s">
        <v>87</v>
      </c>
      <c r="B22" s="7">
        <f>3090</f>
        <v>3090</v>
      </c>
      <c r="C22" s="7">
        <f>3060</f>
        <v>3060</v>
      </c>
      <c r="D22" s="7">
        <f>4050</f>
        <v>4050</v>
      </c>
      <c r="E22" s="7">
        <f>2970</f>
        <v>2970</v>
      </c>
      <c r="F22" s="7">
        <f>(((B22)+(C22))+(D22))+(E22)</f>
        <v>13170</v>
      </c>
    </row>
    <row r="23" spans="1:6" x14ac:dyDescent="0.3">
      <c r="A23" s="2" t="s">
        <v>86</v>
      </c>
      <c r="B23" s="7">
        <f>600</f>
        <v>600</v>
      </c>
      <c r="C23" s="7">
        <f>950</f>
        <v>950</v>
      </c>
      <c r="D23" s="7">
        <f>250</f>
        <v>250</v>
      </c>
      <c r="E23" s="7">
        <f>300</f>
        <v>300</v>
      </c>
      <c r="F23" s="7">
        <f>(((B23)+(C23))+(D23))+(E23)</f>
        <v>2100</v>
      </c>
    </row>
    <row r="24" spans="1:6" x14ac:dyDescent="0.3">
      <c r="A24" s="2" t="s">
        <v>85</v>
      </c>
      <c r="B24" s="7">
        <f>1920</f>
        <v>1920</v>
      </c>
      <c r="C24" s="7">
        <f>1980</f>
        <v>1980</v>
      </c>
      <c r="D24" s="7">
        <f>2145</f>
        <v>2145</v>
      </c>
      <c r="E24" s="7">
        <f>3250</f>
        <v>3250</v>
      </c>
      <c r="F24" s="7">
        <f>(((B24)+(C24))+(D24))+(E24)</f>
        <v>9295</v>
      </c>
    </row>
    <row r="25" spans="1:6" x14ac:dyDescent="0.3">
      <c r="A25" s="2" t="s">
        <v>84</v>
      </c>
      <c r="B25" s="7">
        <f>50</f>
        <v>50</v>
      </c>
      <c r="C25" s="7">
        <f>30</f>
        <v>30</v>
      </c>
      <c r="D25" s="7">
        <f>95</f>
        <v>95</v>
      </c>
      <c r="E25" s="7">
        <f>80</f>
        <v>80</v>
      </c>
      <c r="F25" s="7">
        <f>(((B25)+(C25))+(D25))+(E25)</f>
        <v>255</v>
      </c>
    </row>
    <row r="26" spans="1:6" x14ac:dyDescent="0.3">
      <c r="A26" s="2" t="s">
        <v>83</v>
      </c>
      <c r="B26" s="7">
        <f>21</f>
        <v>21</v>
      </c>
      <c r="C26" s="7">
        <f>9</f>
        <v>9</v>
      </c>
      <c r="D26" s="7">
        <f>6</f>
        <v>6</v>
      </c>
      <c r="E26" s="7">
        <f>6</f>
        <v>6</v>
      </c>
      <c r="F26" s="7">
        <f>(((B26)+(C26))+(D26))+(E26)</f>
        <v>42</v>
      </c>
    </row>
    <row r="27" spans="1:6" hidden="1" x14ac:dyDescent="0.3">
      <c r="A27" s="2" t="s">
        <v>82</v>
      </c>
      <c r="B27" s="9">
        <f>(((((B21)+(B22))+(B23))+(B24))+(B25))+(B26)</f>
        <v>5681</v>
      </c>
      <c r="C27" s="9">
        <f>(((((C21)+(C22))+(C23))+(C24))+(C25))+(C26)</f>
        <v>6029</v>
      </c>
      <c r="D27" s="9">
        <f>(((((D21)+(D22))+(D23))+(D24))+(D25))+(D26)</f>
        <v>6546</v>
      </c>
      <c r="E27" s="9">
        <f>(((((E21)+(E22))+(E23))+(E24))+(E25))+(E26)</f>
        <v>6606</v>
      </c>
      <c r="F27" s="9">
        <f>(((B27)+(C27))+(D27))+(E27)</f>
        <v>24862</v>
      </c>
    </row>
    <row r="28" spans="1:6" x14ac:dyDescent="0.3">
      <c r="A28" s="2" t="s">
        <v>81</v>
      </c>
      <c r="B28" s="7"/>
      <c r="C28" s="7"/>
      <c r="D28" s="7"/>
      <c r="E28" s="7"/>
      <c r="F28" s="7">
        <f>(((B28)+(C28))+(D28))+(E28)</f>
        <v>0</v>
      </c>
    </row>
    <row r="29" spans="1:6" x14ac:dyDescent="0.3">
      <c r="A29" s="2" t="s">
        <v>80</v>
      </c>
      <c r="B29" s="7">
        <f>90</f>
        <v>90</v>
      </c>
      <c r="C29" s="7">
        <f>210</f>
        <v>210</v>
      </c>
      <c r="D29" s="7">
        <f>150</f>
        <v>150</v>
      </c>
      <c r="E29" s="7">
        <f>120</f>
        <v>120</v>
      </c>
      <c r="F29" s="7">
        <f>(((B29)+(C29))+(D29))+(E29)</f>
        <v>570</v>
      </c>
    </row>
    <row r="30" spans="1:6" x14ac:dyDescent="0.3">
      <c r="A30" s="2" t="s">
        <v>79</v>
      </c>
      <c r="B30" s="7">
        <f>1740</f>
        <v>1740</v>
      </c>
      <c r="C30" s="7">
        <f>60</f>
        <v>60</v>
      </c>
      <c r="D30" s="7">
        <f>60</f>
        <v>60</v>
      </c>
      <c r="E30" s="7">
        <f>180</f>
        <v>180</v>
      </c>
      <c r="F30" s="7">
        <f>(((B30)+(C30))+(D30))+(E30)</f>
        <v>2040</v>
      </c>
    </row>
    <row r="31" spans="1:6" hidden="1" x14ac:dyDescent="0.3">
      <c r="A31" s="2" t="s">
        <v>78</v>
      </c>
      <c r="B31" s="9">
        <f>((B28)+(B29))+(B30)</f>
        <v>1830</v>
      </c>
      <c r="C31" s="9">
        <f>((C28)+(C29))+(C30)</f>
        <v>270</v>
      </c>
      <c r="D31" s="9">
        <f>((D28)+(D29))+(D30)</f>
        <v>210</v>
      </c>
      <c r="E31" s="9">
        <f>((E28)+(E29))+(E30)</f>
        <v>300</v>
      </c>
      <c r="F31" s="9">
        <f>(((B31)+(C31))+(D31))+(E31)</f>
        <v>2610</v>
      </c>
    </row>
    <row r="32" spans="1:6" x14ac:dyDescent="0.3">
      <c r="A32" s="2" t="s">
        <v>77</v>
      </c>
      <c r="B32" s="9">
        <f>(((((((B11)+(B12))+(B17))+(B18))+(B19))+(B20))+(B27))+(B31)</f>
        <v>33671</v>
      </c>
      <c r="C32" s="9">
        <f>(((((((C11)+(C12))+(C17))+(C18))+(C19))+(C20))+(C27))+(C31)</f>
        <v>17354</v>
      </c>
      <c r="D32" s="9">
        <f>(((((((D11)+(D12))+(D17))+(D18))+(D19))+(D20))+(D27))+(D31)</f>
        <v>15773.06</v>
      </c>
      <c r="E32" s="9">
        <f>(((((((E11)+(E12))+(E17))+(E18))+(E19))+(E20))+(E27))+(E31)</f>
        <v>18203.939999999999</v>
      </c>
      <c r="F32" s="9">
        <f>(((B32)+(C32))+(D32))+(E32)</f>
        <v>85002</v>
      </c>
    </row>
    <row r="33" spans="1:8" x14ac:dyDescent="0.3">
      <c r="A33" s="2"/>
      <c r="B33" s="11"/>
      <c r="C33" s="11"/>
      <c r="D33" s="11"/>
      <c r="E33" s="11"/>
      <c r="F33" s="11"/>
    </row>
    <row r="34" spans="1:8" x14ac:dyDescent="0.3">
      <c r="A34" s="2" t="s">
        <v>76</v>
      </c>
      <c r="B34" s="7"/>
      <c r="C34" s="7"/>
      <c r="D34" s="7"/>
      <c r="E34" s="7"/>
      <c r="F34" s="7">
        <f>(((B34)+(C34))+(D34))+(E34)</f>
        <v>0</v>
      </c>
    </row>
    <row r="35" spans="1:8" x14ac:dyDescent="0.3">
      <c r="A35" s="2" t="s">
        <v>75</v>
      </c>
      <c r="B35" s="7">
        <f>50</f>
        <v>50</v>
      </c>
      <c r="C35" s="7"/>
      <c r="D35" s="7"/>
      <c r="E35" s="7"/>
      <c r="F35" s="7">
        <f>(((B35)+(C35))+(D35))+(E35)</f>
        <v>50</v>
      </c>
    </row>
    <row r="36" spans="1:8" x14ac:dyDescent="0.3">
      <c r="A36" s="2" t="s">
        <v>74</v>
      </c>
      <c r="B36" s="9">
        <f>(B34)+(B35)</f>
        <v>50</v>
      </c>
      <c r="C36" s="9">
        <f>(C34)+(C35)</f>
        <v>0</v>
      </c>
      <c r="D36" s="9">
        <f>(D34)+(D35)</f>
        <v>0</v>
      </c>
      <c r="E36" s="9">
        <f>(E34)+(E35)</f>
        <v>0</v>
      </c>
      <c r="F36" s="9">
        <f>(((B36)+(C36))+(D36))+(E36)</f>
        <v>50</v>
      </c>
      <c r="G36" s="14"/>
      <c r="H36" s="14"/>
    </row>
    <row r="37" spans="1:8" x14ac:dyDescent="0.3">
      <c r="A37" s="2"/>
      <c r="B37" s="11"/>
      <c r="C37" s="11"/>
      <c r="D37" s="11"/>
      <c r="E37" s="11"/>
      <c r="F37" s="11"/>
    </row>
    <row r="38" spans="1:8" x14ac:dyDescent="0.3">
      <c r="A38" s="2" t="s">
        <v>73</v>
      </c>
      <c r="B38" s="9">
        <f>((B9)+(B32))+(B36)</f>
        <v>33731</v>
      </c>
      <c r="C38" s="9">
        <f>((C9)+(C32))+(C36)</f>
        <v>17359</v>
      </c>
      <c r="D38" s="9">
        <f>((D9)+(D32))+(D36)</f>
        <v>15773.06</v>
      </c>
      <c r="E38" s="9">
        <f>((E9)+(E32))+(E36)</f>
        <v>18203.939999999999</v>
      </c>
      <c r="F38" s="9">
        <f>(((B38)+(C38))+(D38))+(E38)</f>
        <v>85067</v>
      </c>
    </row>
    <row r="39" spans="1:8" hidden="1" x14ac:dyDescent="0.3">
      <c r="A39" s="2" t="s">
        <v>72</v>
      </c>
      <c r="B39" s="9">
        <f>(B38)-(0)</f>
        <v>33731</v>
      </c>
      <c r="C39" s="9">
        <f>(C38)-(0)</f>
        <v>17359</v>
      </c>
      <c r="D39" s="9">
        <f>(D38)-(0)</f>
        <v>15773.06</v>
      </c>
      <c r="E39" s="9">
        <f>(E38)-(0)</f>
        <v>18203.939999999999</v>
      </c>
      <c r="F39" s="9">
        <f>(((B39)+(C39))+(D39))+(E39)</f>
        <v>85067</v>
      </c>
    </row>
    <row r="40" spans="1:8" x14ac:dyDescent="0.3">
      <c r="A40" s="2"/>
      <c r="B40" s="11"/>
      <c r="C40" s="11"/>
      <c r="D40" s="11"/>
      <c r="E40" s="11"/>
      <c r="F40" s="11"/>
    </row>
    <row r="41" spans="1:8" x14ac:dyDescent="0.3">
      <c r="A41" s="2" t="s">
        <v>71</v>
      </c>
      <c r="B41" s="7"/>
      <c r="C41" s="7"/>
      <c r="D41" s="7"/>
      <c r="E41" s="7"/>
      <c r="F41" s="7"/>
    </row>
    <row r="42" spans="1:8" x14ac:dyDescent="0.3">
      <c r="A42" s="2" t="s">
        <v>70</v>
      </c>
      <c r="B42" s="7"/>
      <c r="C42" s="7"/>
      <c r="D42" s="7"/>
      <c r="E42" s="7"/>
      <c r="F42" s="7">
        <f>(((B42)+(C42))+(D42))+(E42)</f>
        <v>0</v>
      </c>
    </row>
    <row r="43" spans="1:8" x14ac:dyDescent="0.3">
      <c r="A43" s="2" t="s">
        <v>69</v>
      </c>
      <c r="B43" s="7">
        <f>300</f>
        <v>300</v>
      </c>
      <c r="C43" s="7">
        <f>300</f>
        <v>300</v>
      </c>
      <c r="D43" s="7">
        <f>300</f>
        <v>300</v>
      </c>
      <c r="E43" s="7">
        <f>300</f>
        <v>300</v>
      </c>
      <c r="F43" s="7">
        <f>(((B43)+(C43))+(D43))+(E43)</f>
        <v>1200</v>
      </c>
    </row>
    <row r="44" spans="1:8" x14ac:dyDescent="0.3">
      <c r="A44" s="2" t="s">
        <v>68</v>
      </c>
      <c r="B44" s="7">
        <f>3813</f>
        <v>3813</v>
      </c>
      <c r="C44" s="7">
        <f>3813</f>
        <v>3813</v>
      </c>
      <c r="D44" s="7">
        <f>3813</f>
        <v>3813</v>
      </c>
      <c r="E44" s="7">
        <f>3813</f>
        <v>3813</v>
      </c>
      <c r="F44" s="7">
        <f>(((B44)+(C44))+(D44))+(E44)</f>
        <v>15252</v>
      </c>
    </row>
    <row r="45" spans="1:8" x14ac:dyDescent="0.3">
      <c r="A45" s="2" t="s">
        <v>67</v>
      </c>
      <c r="B45" s="7">
        <f>1024</f>
        <v>1024</v>
      </c>
      <c r="C45" s="7">
        <f>1024</f>
        <v>1024</v>
      </c>
      <c r="D45" s="7">
        <f>1024</f>
        <v>1024</v>
      </c>
      <c r="E45" s="7">
        <f>1024</f>
        <v>1024</v>
      </c>
      <c r="F45" s="7">
        <f>(((B45)+(C45))+(D45))+(E45)</f>
        <v>4096</v>
      </c>
    </row>
    <row r="46" spans="1:8" x14ac:dyDescent="0.3">
      <c r="A46" s="2" t="s">
        <v>66</v>
      </c>
      <c r="B46" s="7">
        <f>1368</f>
        <v>1368</v>
      </c>
      <c r="C46" s="7">
        <f>1368</f>
        <v>1368</v>
      </c>
      <c r="D46" s="7">
        <f>1368</f>
        <v>1368</v>
      </c>
      <c r="E46" s="7">
        <f>1368</f>
        <v>1368</v>
      </c>
      <c r="F46" s="7">
        <f>(((B46)+(C46))+(D46))+(E46)</f>
        <v>5472</v>
      </c>
    </row>
    <row r="47" spans="1:8" x14ac:dyDescent="0.3">
      <c r="A47" s="2" t="s">
        <v>65</v>
      </c>
      <c r="B47" s="7">
        <f>1685</f>
        <v>1685</v>
      </c>
      <c r="C47" s="7">
        <f>685</f>
        <v>685</v>
      </c>
      <c r="D47" s="7">
        <f>685</f>
        <v>685</v>
      </c>
      <c r="E47" s="7">
        <f>685</f>
        <v>685</v>
      </c>
      <c r="F47" s="7">
        <f>(((B47)+(C47))+(D47))+(E47)</f>
        <v>3740</v>
      </c>
    </row>
    <row r="48" spans="1:8" x14ac:dyDescent="0.3">
      <c r="A48" s="2" t="s">
        <v>64</v>
      </c>
      <c r="B48" s="9">
        <f>(((((B42)+(B43))+(B44))+(B45))+(B46))+(B47)</f>
        <v>8190</v>
      </c>
      <c r="C48" s="9">
        <f>(((((C42)+(C43))+(C44))+(C45))+(C46))+(C47)</f>
        <v>7190</v>
      </c>
      <c r="D48" s="9">
        <f>(((((D42)+(D43))+(D44))+(D45))+(D46))+(D47)</f>
        <v>7190</v>
      </c>
      <c r="E48" s="9">
        <f>(((((E42)+(E43))+(E44))+(E45))+(E46))+(E47)</f>
        <v>7190</v>
      </c>
      <c r="F48" s="9">
        <f>(((B48)+(C48))+(D48))+(E48)</f>
        <v>29760</v>
      </c>
    </row>
    <row r="49" spans="1:6" x14ac:dyDescent="0.3">
      <c r="A49" s="2"/>
      <c r="B49" s="11"/>
      <c r="C49" s="11"/>
      <c r="D49" s="11"/>
      <c r="E49" s="11"/>
      <c r="F49" s="11"/>
    </row>
    <row r="50" spans="1:6" x14ac:dyDescent="0.3">
      <c r="A50" s="2" t="s">
        <v>63</v>
      </c>
      <c r="B50" s="7"/>
      <c r="C50" s="7"/>
      <c r="D50" s="7"/>
      <c r="E50" s="7"/>
      <c r="F50" s="7">
        <f>(((B50)+(C50))+(D50))+(E50)</f>
        <v>0</v>
      </c>
    </row>
    <row r="51" spans="1:6" x14ac:dyDescent="0.3">
      <c r="A51" s="2" t="s">
        <v>62</v>
      </c>
      <c r="B51" s="7">
        <f>541.72</f>
        <v>541.72</v>
      </c>
      <c r="C51" s="7"/>
      <c r="D51" s="7">
        <f>306.74</f>
        <v>306.74</v>
      </c>
      <c r="E51" s="7">
        <f>586.63</f>
        <v>586.63</v>
      </c>
      <c r="F51" s="7">
        <f>(((B51)+(C51))+(D51))+(E51)</f>
        <v>1435.0900000000001</v>
      </c>
    </row>
    <row r="52" spans="1:6" x14ac:dyDescent="0.3">
      <c r="A52" s="2" t="s">
        <v>61</v>
      </c>
      <c r="B52" s="7">
        <f>154.23</f>
        <v>154.22999999999999</v>
      </c>
      <c r="C52" s="7">
        <f>341.83</f>
        <v>341.83</v>
      </c>
      <c r="D52" s="7">
        <f>306.74</f>
        <v>306.74</v>
      </c>
      <c r="E52" s="7">
        <f>447.11</f>
        <v>447.11</v>
      </c>
      <c r="F52" s="7">
        <f>(((B52)+(C52))+(D52))+(E52)</f>
        <v>1249.9099999999999</v>
      </c>
    </row>
    <row r="53" spans="1:6" x14ac:dyDescent="0.3">
      <c r="A53" s="2" t="s">
        <v>60</v>
      </c>
      <c r="B53" s="7">
        <f>23.85</f>
        <v>23.85</v>
      </c>
      <c r="C53" s="7">
        <f>791.95</f>
        <v>791.95</v>
      </c>
      <c r="D53" s="7">
        <f>791.95</f>
        <v>791.95</v>
      </c>
      <c r="E53" s="7"/>
      <c r="F53" s="7">
        <f>(((B53)+(C53))+(D53))+(E53)</f>
        <v>1607.75</v>
      </c>
    </row>
    <row r="54" spans="1:6" x14ac:dyDescent="0.3">
      <c r="A54" s="2" t="s">
        <v>59</v>
      </c>
      <c r="B54" s="7">
        <f>1309.72</f>
        <v>1309.72</v>
      </c>
      <c r="C54" s="7">
        <f>940.39</f>
        <v>940.39</v>
      </c>
      <c r="D54" s="7">
        <f>512.6</f>
        <v>512.6</v>
      </c>
      <c r="E54" s="7">
        <f>374.39</f>
        <v>374.39</v>
      </c>
      <c r="F54" s="7">
        <f>(((B54)+(C54))+(D54))+(E54)</f>
        <v>3137.1</v>
      </c>
    </row>
    <row r="55" spans="1:6" x14ac:dyDescent="0.3">
      <c r="A55" s="2" t="s">
        <v>58</v>
      </c>
      <c r="B55" s="7">
        <f>618.91</f>
        <v>618.91</v>
      </c>
      <c r="C55" s="7"/>
      <c r="D55" s="7">
        <f>5850</f>
        <v>5850</v>
      </c>
      <c r="E55" s="7"/>
      <c r="F55" s="7">
        <f>(((B55)+(C55))+(D55))+(E55)</f>
        <v>6468.91</v>
      </c>
    </row>
    <row r="56" spans="1:6" x14ac:dyDescent="0.3">
      <c r="A56" s="2" t="s">
        <v>57</v>
      </c>
      <c r="B56" s="9">
        <f>(((((B50)+(B51))+(B52))+(B53))+(B54))+(B55)</f>
        <v>2648.43</v>
      </c>
      <c r="C56" s="9">
        <f>(((((C50)+(C51))+(C52))+(C53))+(C54))+(C55)</f>
        <v>2074.17</v>
      </c>
      <c r="D56" s="9">
        <f>(((((D50)+(D51))+(D52))+(D53))+(D54))+(D55)</f>
        <v>7768.0300000000007</v>
      </c>
      <c r="E56" s="9">
        <f>(((((E50)+(E51))+(E52))+(E53))+(E54))+(E55)</f>
        <v>1408.13</v>
      </c>
      <c r="F56" s="9">
        <f>(((B56)+(C56))+(D56))+(E56)</f>
        <v>13898.760000000002</v>
      </c>
    </row>
    <row r="57" spans="1:6" x14ac:dyDescent="0.3">
      <c r="A57" s="2"/>
      <c r="B57" s="11"/>
      <c r="C57" s="11"/>
      <c r="D57" s="11"/>
      <c r="E57" s="11"/>
      <c r="F57" s="11"/>
    </row>
    <row r="58" spans="1:6" x14ac:dyDescent="0.3">
      <c r="A58" s="2" t="s">
        <v>56</v>
      </c>
      <c r="B58" s="7"/>
      <c r="C58" s="7"/>
      <c r="D58" s="7"/>
      <c r="E58" s="7"/>
      <c r="F58" s="7">
        <f>(((B58)+(C58))+(D58))+(E58)</f>
        <v>0</v>
      </c>
    </row>
    <row r="59" spans="1:6" x14ac:dyDescent="0.3">
      <c r="A59" s="2" t="s">
        <v>55</v>
      </c>
      <c r="B59" s="7">
        <f>31.35</f>
        <v>31.35</v>
      </c>
      <c r="C59" s="7"/>
      <c r="D59" s="7">
        <f>2186.09</f>
        <v>2186.09</v>
      </c>
      <c r="E59" s="7"/>
      <c r="F59" s="7">
        <f>(((B59)+(C59))+(D59))+(E59)</f>
        <v>2217.44</v>
      </c>
    </row>
    <row r="60" spans="1:6" x14ac:dyDescent="0.3">
      <c r="A60" s="2" t="s">
        <v>54</v>
      </c>
      <c r="B60" s="7">
        <f>32</f>
        <v>32</v>
      </c>
      <c r="C60" s="7">
        <f>12</f>
        <v>12</v>
      </c>
      <c r="D60" s="7"/>
      <c r="E60" s="7"/>
      <c r="F60" s="7">
        <f>(((B60)+(C60))+(D60))+(E60)</f>
        <v>44</v>
      </c>
    </row>
    <row r="61" spans="1:6" x14ac:dyDescent="0.3">
      <c r="A61" s="2" t="s">
        <v>53</v>
      </c>
      <c r="B61" s="7"/>
      <c r="C61" s="7"/>
      <c r="D61" s="7">
        <f>1000</f>
        <v>1000</v>
      </c>
      <c r="E61" s="7">
        <f>1500</f>
        <v>1500</v>
      </c>
      <c r="F61" s="7">
        <f>(((B61)+(C61))+(D61))+(E61)</f>
        <v>2500</v>
      </c>
    </row>
    <row r="62" spans="1:6" x14ac:dyDescent="0.3">
      <c r="A62" s="2" t="s">
        <v>52</v>
      </c>
      <c r="B62" s="9">
        <f>(((B58)+(B59))+(B60))+(B61)</f>
        <v>63.35</v>
      </c>
      <c r="C62" s="9">
        <f>(((C58)+(C59))+(C60))+(C61)</f>
        <v>12</v>
      </c>
      <c r="D62" s="9">
        <f>(((D58)+(D59))+(D60))+(D61)</f>
        <v>3186.09</v>
      </c>
      <c r="E62" s="9">
        <f>(((E58)+(E59))+(E60))+(E61)</f>
        <v>1500</v>
      </c>
      <c r="F62" s="9">
        <f>(((B62)+(C62))+(D62))+(E62)</f>
        <v>4761.4400000000005</v>
      </c>
    </row>
    <row r="63" spans="1:6" x14ac:dyDescent="0.3">
      <c r="A63" s="2"/>
      <c r="B63" s="11"/>
      <c r="C63" s="11"/>
      <c r="D63" s="11"/>
      <c r="E63" s="11"/>
      <c r="F63" s="11"/>
    </row>
    <row r="64" spans="1:6" x14ac:dyDescent="0.3">
      <c r="A64" s="2" t="s">
        <v>51</v>
      </c>
      <c r="B64" s="7"/>
      <c r="C64" s="7"/>
      <c r="D64" s="7"/>
      <c r="E64" s="7"/>
      <c r="F64" s="7">
        <f>(((B64)+(C64))+(D64))+(E64)</f>
        <v>0</v>
      </c>
    </row>
    <row r="65" spans="1:7" x14ac:dyDescent="0.3">
      <c r="A65" s="2" t="s">
        <v>50</v>
      </c>
      <c r="B65" s="7"/>
      <c r="C65" s="7"/>
      <c r="D65" s="7"/>
      <c r="E65" s="7"/>
      <c r="F65" s="7">
        <f>(((B65)+(C65))+(D65))+(E65)</f>
        <v>0</v>
      </c>
    </row>
    <row r="66" spans="1:7" x14ac:dyDescent="0.3">
      <c r="A66" s="2" t="s">
        <v>49</v>
      </c>
      <c r="B66" s="7"/>
      <c r="C66" s="7">
        <f>2129</f>
        <v>2129</v>
      </c>
      <c r="D66" s="7"/>
      <c r="E66" s="7"/>
      <c r="F66" s="7">
        <f>(((B66)+(C66))+(D66))+(E66)</f>
        <v>2129</v>
      </c>
    </row>
    <row r="67" spans="1:7" x14ac:dyDescent="0.3">
      <c r="A67" s="2" t="s">
        <v>48</v>
      </c>
      <c r="B67" s="7"/>
      <c r="C67" s="7"/>
      <c r="D67" s="7">
        <f>3295</f>
        <v>3295</v>
      </c>
      <c r="E67" s="7"/>
      <c r="F67" s="7">
        <f>(((B67)+(C67))+(D67))+(E67)</f>
        <v>3295</v>
      </c>
    </row>
    <row r="68" spans="1:7" x14ac:dyDescent="0.3">
      <c r="A68" s="2" t="s">
        <v>47</v>
      </c>
      <c r="B68" s="9">
        <f>((B65)+(B66))+(B67)</f>
        <v>0</v>
      </c>
      <c r="C68" s="9">
        <f>((C65)+(C66))+(C67)</f>
        <v>2129</v>
      </c>
      <c r="D68" s="9">
        <f>((D65)+(D66))+(D67)</f>
        <v>3295</v>
      </c>
      <c r="E68" s="9">
        <f>((E65)+(E66))+(E67)</f>
        <v>0</v>
      </c>
      <c r="F68" s="9">
        <f>(((B68)+(C68))+(D68))+(E68)</f>
        <v>5424</v>
      </c>
    </row>
    <row r="69" spans="1:7" x14ac:dyDescent="0.3">
      <c r="A69" s="2"/>
      <c r="B69" s="11"/>
      <c r="C69" s="11"/>
      <c r="D69" s="11"/>
      <c r="E69" s="11"/>
      <c r="F69" s="11"/>
    </row>
    <row r="70" spans="1:7" x14ac:dyDescent="0.3">
      <c r="A70" s="2" t="s">
        <v>46</v>
      </c>
      <c r="B70" s="7">
        <f>49.25</f>
        <v>49.25</v>
      </c>
      <c r="C70" s="7">
        <f>12</f>
        <v>12</v>
      </c>
      <c r="D70" s="7">
        <f>22.14</f>
        <v>22.14</v>
      </c>
      <c r="E70" s="7"/>
      <c r="F70" s="7">
        <f>(((B70)+(C70))+(D70))+(E70)</f>
        <v>83.39</v>
      </c>
    </row>
    <row r="71" spans="1:7" x14ac:dyDescent="0.3">
      <c r="A71" s="2" t="s">
        <v>45</v>
      </c>
      <c r="B71" s="7">
        <f>1497.94</f>
        <v>1497.94</v>
      </c>
      <c r="C71" s="7">
        <f>740.47</f>
        <v>740.47</v>
      </c>
      <c r="D71" s="7">
        <f>706.22</f>
        <v>706.22</v>
      </c>
      <c r="E71" s="7">
        <f>857.53</f>
        <v>857.53</v>
      </c>
      <c r="F71" s="7">
        <f>(((B71)+(C71))+(D71))+(E71)</f>
        <v>3802.16</v>
      </c>
    </row>
    <row r="72" spans="1:7" x14ac:dyDescent="0.3">
      <c r="A72" s="2" t="s">
        <v>44</v>
      </c>
      <c r="B72" s="7"/>
      <c r="C72" s="7"/>
      <c r="D72" s="7">
        <f>1888</f>
        <v>1888</v>
      </c>
      <c r="E72" s="7">
        <f>1016</f>
        <v>1016</v>
      </c>
      <c r="F72" s="7">
        <f>(((B72)+(C72))+(D72))+(E72)</f>
        <v>2904</v>
      </c>
    </row>
    <row r="73" spans="1:7" x14ac:dyDescent="0.3">
      <c r="A73" s="2" t="s">
        <v>43</v>
      </c>
      <c r="B73" s="7">
        <f>405</f>
        <v>405</v>
      </c>
      <c r="C73" s="7"/>
      <c r="D73" s="7"/>
      <c r="E73" s="7"/>
      <c r="F73" s="7">
        <f>(((B73)+(C73))+(D73))+(E73)</f>
        <v>405</v>
      </c>
    </row>
    <row r="74" spans="1:7" x14ac:dyDescent="0.3">
      <c r="A74" s="2" t="s">
        <v>42</v>
      </c>
      <c r="B74" s="9">
        <f>(((((B64)+(B68))+(B70))+(B71))+(B72))+(B73)</f>
        <v>1952.19</v>
      </c>
      <c r="C74" s="9">
        <f>(((((C64)+(C68))+(C70))+(C71))+(C72))+(C73)</f>
        <v>2881.4700000000003</v>
      </c>
      <c r="D74" s="9">
        <f>(((((D64)+(D68))+(D70))+(D71))+(D72))+(D73)</f>
        <v>5911.36</v>
      </c>
      <c r="E74" s="9">
        <f>(((((E64)+(E68))+(E70))+(E71))+(E72))+(E73)</f>
        <v>1873.53</v>
      </c>
      <c r="F74" s="9">
        <f>(((B74)+(C74))+(D74))+(E74)</f>
        <v>12618.550000000001</v>
      </c>
      <c r="G74" s="14"/>
    </row>
    <row r="75" spans="1:7" x14ac:dyDescent="0.3">
      <c r="A75" s="2"/>
      <c r="B75" s="11"/>
      <c r="C75" s="11"/>
      <c r="D75" s="11"/>
      <c r="E75" s="11"/>
      <c r="F75" s="11"/>
    </row>
    <row r="76" spans="1:7" x14ac:dyDescent="0.3">
      <c r="A76" s="2" t="s">
        <v>41</v>
      </c>
      <c r="B76" s="9">
        <f>(((B48)+(B56))+(B62))+(B74)</f>
        <v>12853.970000000001</v>
      </c>
      <c r="C76" s="9">
        <f>(((C48)+(C56))+(C62))+(C74)</f>
        <v>12157.64</v>
      </c>
      <c r="D76" s="9">
        <f>(((D48)+(D56))+(D62))+(D74)</f>
        <v>24055.480000000003</v>
      </c>
      <c r="E76" s="9">
        <f>(((E48)+(E56))+(E62))+(E74)</f>
        <v>11971.660000000002</v>
      </c>
      <c r="F76" s="9">
        <f>(((B76)+(C76))+(D76))+(E76)</f>
        <v>61038.750000000007</v>
      </c>
    </row>
    <row r="77" spans="1:7" hidden="1" x14ac:dyDescent="0.3">
      <c r="A77" s="2" t="s">
        <v>40</v>
      </c>
      <c r="B77" s="9">
        <f>(B39)-(B76)</f>
        <v>20877.03</v>
      </c>
      <c r="C77" s="9">
        <f>(C39)-(C76)</f>
        <v>5201.3600000000006</v>
      </c>
      <c r="D77" s="9">
        <f>(D39)-(D76)</f>
        <v>-8282.4200000000037</v>
      </c>
      <c r="E77" s="9">
        <f>(E39)-(E76)</f>
        <v>6232.279999999997</v>
      </c>
      <c r="F77" s="9">
        <f>(((B77)+(C77))+(D77))+(E77)</f>
        <v>24028.249999999993</v>
      </c>
    </row>
    <row r="78" spans="1:7" x14ac:dyDescent="0.3">
      <c r="A78" s="2"/>
      <c r="B78" s="11"/>
      <c r="C78" s="11"/>
      <c r="D78" s="11"/>
      <c r="E78" s="11"/>
      <c r="F78" s="11"/>
    </row>
    <row r="79" spans="1:7" x14ac:dyDescent="0.3">
      <c r="A79" s="2" t="s">
        <v>39</v>
      </c>
      <c r="B79" s="7"/>
      <c r="C79" s="7"/>
      <c r="D79" s="7"/>
      <c r="E79" s="7"/>
      <c r="F79" s="7"/>
    </row>
    <row r="80" spans="1:7" x14ac:dyDescent="0.3">
      <c r="A80" s="2" t="s">
        <v>38</v>
      </c>
      <c r="B80" s="7"/>
      <c r="C80" s="7"/>
      <c r="D80" s="7"/>
      <c r="E80" s="7"/>
      <c r="F80" s="7">
        <f>(((B80)+(C80))+(D80))+(E80)</f>
        <v>0</v>
      </c>
    </row>
    <row r="81" spans="1:7" x14ac:dyDescent="0.3">
      <c r="A81" s="2" t="s">
        <v>37</v>
      </c>
      <c r="B81" s="7">
        <f>669.69</f>
        <v>669.69</v>
      </c>
      <c r="C81" s="7">
        <f>681.51</f>
        <v>681.51</v>
      </c>
      <c r="D81" s="7">
        <f>596.12</f>
        <v>596.12</v>
      </c>
      <c r="E81" s="7">
        <f>15.13</f>
        <v>15.13</v>
      </c>
      <c r="F81" s="7">
        <f>(((B81)+(C81))+(D81))+(E81)</f>
        <v>1962.4500000000003</v>
      </c>
    </row>
    <row r="82" spans="1:7" hidden="1" x14ac:dyDescent="0.3">
      <c r="A82" s="2" t="s">
        <v>36</v>
      </c>
      <c r="B82" s="9">
        <f>(B80)+(B81)</f>
        <v>669.69</v>
      </c>
      <c r="C82" s="9">
        <f>(C80)+(C81)</f>
        <v>681.51</v>
      </c>
      <c r="D82" s="9">
        <f>(D80)+(D81)</f>
        <v>596.12</v>
      </c>
      <c r="E82" s="9">
        <f>(E80)+(E81)</f>
        <v>15.13</v>
      </c>
      <c r="F82" s="9">
        <f>(((B82)+(C82))+(D82))+(E82)</f>
        <v>1962.4500000000003</v>
      </c>
    </row>
    <row r="83" spans="1:7" hidden="1" x14ac:dyDescent="0.3">
      <c r="A83" s="2" t="s">
        <v>35</v>
      </c>
      <c r="B83" s="9">
        <f>B82</f>
        <v>669.69</v>
      </c>
      <c r="C83" s="9">
        <f>C82</f>
        <v>681.51</v>
      </c>
      <c r="D83" s="9">
        <f>D82</f>
        <v>596.12</v>
      </c>
      <c r="E83" s="9">
        <f>E82</f>
        <v>15.13</v>
      </c>
      <c r="F83" s="9">
        <f>(((B83)+(C83))+(D83))+(E83)</f>
        <v>1962.4500000000003</v>
      </c>
    </row>
    <row r="84" spans="1:7" x14ac:dyDescent="0.3">
      <c r="A84" s="2" t="s">
        <v>34</v>
      </c>
      <c r="B84" s="9">
        <f>(B83)-(0)</f>
        <v>669.69</v>
      </c>
      <c r="C84" s="9">
        <f>(C83)-(0)</f>
        <v>681.51</v>
      </c>
      <c r="D84" s="9">
        <f>(D83)-(0)</f>
        <v>596.12</v>
      </c>
      <c r="E84" s="9">
        <f>(E83)-(0)</f>
        <v>15.13</v>
      </c>
      <c r="F84" s="9">
        <f>(((B84)+(C84))+(D84))+(E84)</f>
        <v>1962.4500000000003</v>
      </c>
      <c r="G84" s="14"/>
    </row>
    <row r="85" spans="1:7" x14ac:dyDescent="0.3">
      <c r="A85" s="2"/>
      <c r="B85" s="11"/>
      <c r="C85" s="11"/>
      <c r="D85" s="11"/>
      <c r="E85" s="11"/>
      <c r="F85" s="11"/>
    </row>
    <row r="86" spans="1:7" ht="15" thickBot="1" x14ac:dyDescent="0.35">
      <c r="A86" s="2" t="s">
        <v>33</v>
      </c>
      <c r="B86" s="12">
        <f>(B77)+(B84)</f>
        <v>21546.719999999998</v>
      </c>
      <c r="C86" s="12">
        <f>(C77)+(C84)</f>
        <v>5882.8700000000008</v>
      </c>
      <c r="D86" s="12">
        <f>(D77)+(D84)</f>
        <v>-7686.3000000000038</v>
      </c>
      <c r="E86" s="12">
        <f>(E77)+(E84)</f>
        <v>6247.4099999999971</v>
      </c>
      <c r="F86" s="12">
        <f>(((B86)+(C86))+(D86))+(E86)</f>
        <v>25990.69999999999</v>
      </c>
    </row>
    <row r="87" spans="1:7" ht="15" thickTop="1" x14ac:dyDescent="0.3">
      <c r="A87" s="2"/>
      <c r="B87" s="7"/>
      <c r="C87" s="7"/>
      <c r="D87" s="7"/>
      <c r="E87" s="7"/>
      <c r="F87" s="7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Stmt of Fin Pos</vt:lpstr>
      <vt:lpstr>Stmt of Fin Act</vt:lpstr>
      <vt:lpstr>Stmt of Fin Act by Class</vt:lpstr>
      <vt:lpstr>Stmt of Fin Act by month</vt:lpstr>
      <vt:lpstr>'Stmt of Fin Act'!Print_Titles</vt:lpstr>
      <vt:lpstr>'Stmt of Fin Act by month'!Print_Titles</vt:lpstr>
      <vt:lpstr>'Stmt of Fin Pos'!Print_Titles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Piriyah Wongsangiem</cp:lastModifiedBy>
  <dcterms:created xsi:type="dcterms:W3CDTF">2026-05-18T06:12:25Z</dcterms:created>
  <dcterms:modified xsi:type="dcterms:W3CDTF">2026-05-18T06:23:21Z</dcterms:modified>
</cp:coreProperties>
</file>